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kanbi.NGF\Documents\STATE BUDGET 2020\Delta\"/>
    </mc:Choice>
  </mc:AlternateContent>
  <xr:revisionPtr revIDLastSave="0" documentId="8_{E370FA91-A045-48E0-8869-91724F141925}" xr6:coauthVersionLast="45" xr6:coauthVersionMax="45" xr10:uidLastSave="{00000000-0000-0000-0000-000000000000}"/>
  <bookViews>
    <workbookView xWindow="-120" yWindow="-120" windowWidth="20730" windowHeight="11160" tabRatio="771" activeTab="1" xr2:uid="{00000000-000D-0000-FFFF-FFFF00000000}"/>
  </bookViews>
  <sheets>
    <sheet name="BUDGET SUM" sheetId="1" r:id="rId1"/>
    <sheet name="Recurrent Revenue Sum" sheetId="2" r:id="rId2"/>
    <sheet name="Details of Rec Rev_Cap Receipt" sheetId="3" r:id="rId3"/>
    <sheet name="Rec Exp Sum" sheetId="7" r:id="rId4"/>
    <sheet name="Personnel" sheetId="5" r:id="rId5"/>
    <sheet name="Overhead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LocationLU">'[1]Location Codes'!$C$2:$C$36</definedName>
    <definedName name="PersonnelLU" localSheetId="2">'[1]Expenditure Codes'!$C$2:$C$14</definedName>
    <definedName name="PersonnelLU">'[2]Expenditure Codes'!$C$2:$C$14</definedName>
    <definedName name="_xlnm.Print_Area" localSheetId="0">'BUDGET SUM'!$A$1:$H$75</definedName>
    <definedName name="_xlnm.Print_Area" localSheetId="2">'Details of Rec Rev_Cap Receipt'!$A$1:$J$564</definedName>
    <definedName name="_xlnm.Print_Area" localSheetId="5">Overhead!$A$1:$H$1184</definedName>
    <definedName name="_xlnm.Print_Area" localSheetId="4">Personnel!$A$1:$H$200</definedName>
    <definedName name="_xlnm.Print_Area" localSheetId="3">'Rec Exp Sum'!$A$1:$H$197</definedName>
    <definedName name="_xlnm.Print_Area" localSheetId="1">'Recurrent Revenue Sum'!$A$1:$H$26</definedName>
    <definedName name="_xlnm.Print_Titles" localSheetId="0">'BUDGET SUM'!$1:$2</definedName>
    <definedName name="_xlnm.Print_Titles" localSheetId="2">'Details of Rec Rev_Cap Receipt'!$4:$4</definedName>
    <definedName name="_xlnm.Print_Titles" localSheetId="5">Overhead!$1:$1</definedName>
    <definedName name="_xlnm.Print_Titles" localSheetId="4">Personnel!$1:$1</definedName>
    <definedName name="_xlnm.Print_Titles" localSheetId="3">'Rec Exp Sum'!$1:$1</definedName>
    <definedName name="rec">'[1]Expenditure Codes'!$C$2:$C$14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2" i="7" l="1"/>
  <c r="G63" i="1" l="1"/>
  <c r="J562" i="3"/>
  <c r="H549" i="6" l="1"/>
  <c r="G72" i="1"/>
  <c r="G71" i="1"/>
  <c r="G70" i="1"/>
  <c r="G69" i="1"/>
  <c r="G68" i="1"/>
  <c r="H290" i="6"/>
  <c r="H271" i="6"/>
  <c r="H249" i="6"/>
  <c r="H218" i="6"/>
  <c r="H110" i="6"/>
  <c r="H57" i="6"/>
  <c r="H48" i="6"/>
  <c r="H34" i="6"/>
  <c r="G48" i="1"/>
  <c r="H449" i="6" l="1"/>
  <c r="H507" i="6"/>
  <c r="H27" i="6"/>
  <c r="H29" i="6" s="1"/>
  <c r="H600" i="6"/>
  <c r="H599" i="6"/>
  <c r="H237" i="6" l="1"/>
  <c r="E49" i="1" l="1"/>
  <c r="D136" i="7" l="1"/>
  <c r="C136" i="7"/>
  <c r="C131" i="7"/>
  <c r="C123" i="7"/>
  <c r="C68" i="7"/>
  <c r="D37" i="7"/>
  <c r="C37" i="7"/>
  <c r="C31" i="7"/>
  <c r="F195" i="7" l="1"/>
  <c r="E195" i="7"/>
  <c r="G194" i="7"/>
  <c r="D194" i="7"/>
  <c r="H194" i="7" s="1"/>
  <c r="C194" i="7"/>
  <c r="G193" i="7"/>
  <c r="D193" i="7"/>
  <c r="C193" i="7"/>
  <c r="G192" i="7"/>
  <c r="D192" i="7"/>
  <c r="G191" i="7"/>
  <c r="D191" i="7"/>
  <c r="C191" i="7"/>
  <c r="G190" i="7"/>
  <c r="D190" i="7"/>
  <c r="C190" i="7"/>
  <c r="G189" i="7"/>
  <c r="D189" i="7"/>
  <c r="C189" i="7"/>
  <c r="G188" i="7"/>
  <c r="D188" i="7"/>
  <c r="C188" i="7"/>
  <c r="G184" i="7"/>
  <c r="D184" i="7"/>
  <c r="C184" i="7"/>
  <c r="C183" i="7"/>
  <c r="F182" i="7"/>
  <c r="E182" i="7"/>
  <c r="F181" i="7"/>
  <c r="E181" i="7"/>
  <c r="D181" i="7"/>
  <c r="C180" i="7"/>
  <c r="G179" i="7"/>
  <c r="D179" i="7"/>
  <c r="F178" i="7"/>
  <c r="G178" i="7" s="1"/>
  <c r="H178" i="7" s="1"/>
  <c r="F177" i="7"/>
  <c r="G177" i="7" s="1"/>
  <c r="H177" i="7" s="1"/>
  <c r="F176" i="7"/>
  <c r="E176" i="7"/>
  <c r="D176" i="7"/>
  <c r="E175" i="7"/>
  <c r="G175" i="7" s="1"/>
  <c r="H175" i="7" s="1"/>
  <c r="E174" i="7"/>
  <c r="G174" i="7" s="1"/>
  <c r="H174" i="7" s="1"/>
  <c r="E173" i="7"/>
  <c r="G173" i="7" s="1"/>
  <c r="H173" i="7" s="1"/>
  <c r="E172" i="7"/>
  <c r="G172" i="7" s="1"/>
  <c r="H172" i="7" s="1"/>
  <c r="E171" i="7"/>
  <c r="G171" i="7" s="1"/>
  <c r="H171" i="7" s="1"/>
  <c r="E170" i="7"/>
  <c r="G170" i="7" s="1"/>
  <c r="H170" i="7" s="1"/>
  <c r="F169" i="7"/>
  <c r="E169" i="7"/>
  <c r="D169" i="7"/>
  <c r="F168" i="7"/>
  <c r="E168" i="7"/>
  <c r="D168" i="7"/>
  <c r="C166" i="7"/>
  <c r="E165" i="7"/>
  <c r="G165" i="7" s="1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C155" i="7"/>
  <c r="F154" i="7"/>
  <c r="E154" i="7"/>
  <c r="D154" i="7"/>
  <c r="F153" i="7"/>
  <c r="E153" i="7"/>
  <c r="E152" i="7"/>
  <c r="G152" i="7" s="1"/>
  <c r="H152" i="7" s="1"/>
  <c r="F151" i="7"/>
  <c r="E151" i="7"/>
  <c r="D151" i="7"/>
  <c r="F150" i="7"/>
  <c r="E150" i="7"/>
  <c r="D150" i="7"/>
  <c r="F149" i="7"/>
  <c r="E149" i="7"/>
  <c r="F148" i="7"/>
  <c r="E148" i="7"/>
  <c r="F147" i="7"/>
  <c r="E147" i="7"/>
  <c r="D147" i="7"/>
  <c r="F146" i="7"/>
  <c r="E146" i="7"/>
  <c r="D146" i="7"/>
  <c r="C144" i="7"/>
  <c r="E143" i="7"/>
  <c r="G143" i="7" s="1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5" i="7"/>
  <c r="G135" i="7" s="1"/>
  <c r="H135" i="7" s="1"/>
  <c r="F134" i="7"/>
  <c r="E134" i="7"/>
  <c r="E136" i="7" s="1"/>
  <c r="F133" i="7"/>
  <c r="F130" i="7"/>
  <c r="E130" i="7"/>
  <c r="D130" i="7"/>
  <c r="F129" i="7"/>
  <c r="E129" i="7"/>
  <c r="D129" i="7"/>
  <c r="G128" i="7"/>
  <c r="D128" i="7"/>
  <c r="F127" i="7"/>
  <c r="E127" i="7"/>
  <c r="D127" i="7"/>
  <c r="F126" i="7"/>
  <c r="E126" i="7"/>
  <c r="D126" i="7"/>
  <c r="E122" i="7"/>
  <c r="G122" i="7" s="1"/>
  <c r="H122" i="7" s="1"/>
  <c r="E121" i="7"/>
  <c r="G121" i="7" s="1"/>
  <c r="D121" i="7"/>
  <c r="C120" i="7"/>
  <c r="F119" i="7"/>
  <c r="G119" i="7" s="1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G112" i="7" s="1"/>
  <c r="D112" i="7"/>
  <c r="C111" i="7"/>
  <c r="E110" i="7"/>
  <c r="G110" i="7" s="1"/>
  <c r="H110" i="7" s="1"/>
  <c r="F109" i="7"/>
  <c r="F111" i="7" s="1"/>
  <c r="E109" i="7"/>
  <c r="D109" i="7"/>
  <c r="F108" i="7"/>
  <c r="E108" i="7"/>
  <c r="D108" i="7"/>
  <c r="F107" i="7"/>
  <c r="E107" i="7"/>
  <c r="D107" i="7"/>
  <c r="C106" i="7"/>
  <c r="F105" i="7"/>
  <c r="E105" i="7"/>
  <c r="D105" i="7"/>
  <c r="F104" i="7"/>
  <c r="E104" i="7"/>
  <c r="D104" i="7"/>
  <c r="F103" i="7"/>
  <c r="E103" i="7"/>
  <c r="E106" i="7" s="1"/>
  <c r="D103" i="7"/>
  <c r="C101" i="7"/>
  <c r="F100" i="7"/>
  <c r="E100" i="7"/>
  <c r="D100" i="7"/>
  <c r="F99" i="7"/>
  <c r="F101" i="7" s="1"/>
  <c r="E99" i="7"/>
  <c r="D99" i="7"/>
  <c r="D101" i="7" s="1"/>
  <c r="C98" i="7"/>
  <c r="F97" i="7"/>
  <c r="E97" i="7"/>
  <c r="F96" i="7"/>
  <c r="E96" i="7"/>
  <c r="D96" i="7"/>
  <c r="D98" i="7" s="1"/>
  <c r="C95" i="7"/>
  <c r="E94" i="7"/>
  <c r="G94" i="7" s="1"/>
  <c r="H94" i="7" s="1"/>
  <c r="F93" i="7"/>
  <c r="E93" i="7"/>
  <c r="E92" i="7"/>
  <c r="G92" i="7" s="1"/>
  <c r="H92" i="7" s="1"/>
  <c r="E91" i="7"/>
  <c r="G91" i="7" s="1"/>
  <c r="D91" i="7"/>
  <c r="E90" i="7"/>
  <c r="G90" i="7" s="1"/>
  <c r="D90" i="7"/>
  <c r="F89" i="7"/>
  <c r="E89" i="7"/>
  <c r="D89" i="7"/>
  <c r="C88" i="7"/>
  <c r="E87" i="7"/>
  <c r="G87" i="7" s="1"/>
  <c r="D87" i="7"/>
  <c r="F86" i="7"/>
  <c r="G86" i="7" s="1"/>
  <c r="D86" i="7"/>
  <c r="F85" i="7"/>
  <c r="E85" i="7"/>
  <c r="D85" i="7"/>
  <c r="C84" i="7"/>
  <c r="F83" i="7"/>
  <c r="E83" i="7"/>
  <c r="F82" i="7"/>
  <c r="E82" i="7"/>
  <c r="F81" i="7"/>
  <c r="E81" i="7"/>
  <c r="D81" i="7"/>
  <c r="F77" i="7"/>
  <c r="G77" i="7" s="1"/>
  <c r="H77" i="7" s="1"/>
  <c r="E76" i="7"/>
  <c r="G76" i="7" s="1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G70" i="7" s="1"/>
  <c r="D70" i="7"/>
  <c r="F69" i="7"/>
  <c r="E69" i="7"/>
  <c r="E67" i="7"/>
  <c r="G67" i="7" s="1"/>
  <c r="H67" i="7" s="1"/>
  <c r="E66" i="7"/>
  <c r="G66" i="7" s="1"/>
  <c r="H66" i="7" s="1"/>
  <c r="F65" i="7"/>
  <c r="E65" i="7"/>
  <c r="F64" i="7"/>
  <c r="E64" i="7"/>
  <c r="F63" i="7"/>
  <c r="E63" i="7"/>
  <c r="D63" i="7"/>
  <c r="D68" i="7" s="1"/>
  <c r="C61" i="7"/>
  <c r="E60" i="7"/>
  <c r="G60" i="7" s="1"/>
  <c r="D60" i="7"/>
  <c r="E59" i="7"/>
  <c r="G59" i="7" s="1"/>
  <c r="H59" i="7" s="1"/>
  <c r="E58" i="7"/>
  <c r="G58" i="7" s="1"/>
  <c r="D58" i="7"/>
  <c r="F57" i="7"/>
  <c r="F61" i="7" s="1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C52" i="7"/>
  <c r="F51" i="7"/>
  <c r="G51" i="7" s="1"/>
  <c r="D51" i="7"/>
  <c r="F50" i="7"/>
  <c r="G50" i="7" s="1"/>
  <c r="H50" i="7" s="1"/>
  <c r="F49" i="7"/>
  <c r="E49" i="7"/>
  <c r="F48" i="7"/>
  <c r="E48" i="7"/>
  <c r="E47" i="7"/>
  <c r="G47" i="7" s="1"/>
  <c r="H47" i="7" s="1"/>
  <c r="E46" i="7"/>
  <c r="G46" i="7" s="1"/>
  <c r="H46" i="7" s="1"/>
  <c r="F45" i="7"/>
  <c r="E45" i="7"/>
  <c r="E44" i="7"/>
  <c r="G44" i="7" s="1"/>
  <c r="H44" i="7" s="1"/>
  <c r="E43" i="7"/>
  <c r="G43" i="7" s="1"/>
  <c r="H43" i="7" s="1"/>
  <c r="F42" i="7"/>
  <c r="E42" i="7"/>
  <c r="F41" i="7"/>
  <c r="E41" i="7"/>
  <c r="F40" i="7"/>
  <c r="E40" i="7"/>
  <c r="D40" i="7"/>
  <c r="F39" i="7"/>
  <c r="E39" i="7"/>
  <c r="D39" i="7"/>
  <c r="E36" i="7"/>
  <c r="G36" i="7" s="1"/>
  <c r="H36" i="7" s="1"/>
  <c r="F35" i="7"/>
  <c r="E35" i="7"/>
  <c r="F34" i="7"/>
  <c r="E34" i="7"/>
  <c r="F33" i="7"/>
  <c r="E33" i="7"/>
  <c r="F32" i="7"/>
  <c r="E32" i="7"/>
  <c r="F30" i="7"/>
  <c r="G30" i="7" s="1"/>
  <c r="H30" i="7" s="1"/>
  <c r="F29" i="7"/>
  <c r="G29" i="7" s="1"/>
  <c r="H29" i="7" s="1"/>
  <c r="F28" i="7"/>
  <c r="G28" i="7" s="1"/>
  <c r="H28" i="7" s="1"/>
  <c r="F27" i="7"/>
  <c r="G27" i="7" s="1"/>
  <c r="H27" i="7" s="1"/>
  <c r="F26" i="7"/>
  <c r="G26" i="7" s="1"/>
  <c r="H26" i="7" s="1"/>
  <c r="F25" i="7"/>
  <c r="G25" i="7" s="1"/>
  <c r="H25" i="7" s="1"/>
  <c r="F24" i="7"/>
  <c r="G24" i="7" s="1"/>
  <c r="H24" i="7" s="1"/>
  <c r="F23" i="7"/>
  <c r="G23" i="7" s="1"/>
  <c r="H23" i="7" s="1"/>
  <c r="F22" i="7"/>
  <c r="G22" i="7" s="1"/>
  <c r="H22" i="7" s="1"/>
  <c r="F21" i="7"/>
  <c r="G21" i="7" s="1"/>
  <c r="H21" i="7" s="1"/>
  <c r="F20" i="7"/>
  <c r="G20" i="7" s="1"/>
  <c r="H20" i="7" s="1"/>
  <c r="F19" i="7"/>
  <c r="G19" i="7" s="1"/>
  <c r="H19" i="7" s="1"/>
  <c r="F17" i="7"/>
  <c r="E17" i="7"/>
  <c r="F16" i="7"/>
  <c r="G16" i="7" s="1"/>
  <c r="H16" i="7" s="1"/>
  <c r="F15" i="7"/>
  <c r="G15" i="7" s="1"/>
  <c r="H15" i="7" s="1"/>
  <c r="F14" i="7"/>
  <c r="G14" i="7" s="1"/>
  <c r="H14" i="7" s="1"/>
  <c r="F13" i="7"/>
  <c r="G13" i="7" s="1"/>
  <c r="H13" i="7" s="1"/>
  <c r="F12" i="7"/>
  <c r="G12" i="7" s="1"/>
  <c r="H12" i="7" s="1"/>
  <c r="F11" i="7"/>
  <c r="G11" i="7" s="1"/>
  <c r="H11" i="7" s="1"/>
  <c r="F10" i="7"/>
  <c r="G10" i="7" s="1"/>
  <c r="H10" i="7" s="1"/>
  <c r="F9" i="7"/>
  <c r="G9" i="7" s="1"/>
  <c r="H9" i="7" s="1"/>
  <c r="F8" i="7"/>
  <c r="G8" i="7" s="1"/>
  <c r="H8" i="7" s="1"/>
  <c r="F7" i="7"/>
  <c r="G7" i="7" s="1"/>
  <c r="H7" i="7" s="1"/>
  <c r="F6" i="7"/>
  <c r="E6" i="7"/>
  <c r="F5" i="7"/>
  <c r="E5" i="7"/>
  <c r="F4" i="7"/>
  <c r="G4" i="7" s="1"/>
  <c r="H4" i="7" s="1"/>
  <c r="F3" i="7"/>
  <c r="E3" i="7"/>
  <c r="D3" i="7"/>
  <c r="D31" i="7" s="1"/>
  <c r="E144" i="7" l="1"/>
  <c r="E166" i="7"/>
  <c r="G166" i="7" s="1"/>
  <c r="H166" i="7" s="1"/>
  <c r="D106" i="7"/>
  <c r="E120" i="7"/>
  <c r="F144" i="7"/>
  <c r="F166" i="7"/>
  <c r="C78" i="7"/>
  <c r="F106" i="7"/>
  <c r="G106" i="7" s="1"/>
  <c r="H106" i="7" s="1"/>
  <c r="H190" i="7"/>
  <c r="D166" i="7"/>
  <c r="F37" i="7"/>
  <c r="G181" i="7"/>
  <c r="H181" i="7" s="1"/>
  <c r="D95" i="7"/>
  <c r="E98" i="7"/>
  <c r="G113" i="7"/>
  <c r="H113" i="7" s="1"/>
  <c r="G114" i="7"/>
  <c r="H114" i="7" s="1"/>
  <c r="G115" i="7"/>
  <c r="H115" i="7" s="1"/>
  <c r="G116" i="7"/>
  <c r="H116" i="7" s="1"/>
  <c r="G118" i="7"/>
  <c r="H118" i="7" s="1"/>
  <c r="G6" i="7"/>
  <c r="H6" i="7" s="1"/>
  <c r="G17" i="7"/>
  <c r="H17" i="7" s="1"/>
  <c r="G65" i="7"/>
  <c r="H65" i="7" s="1"/>
  <c r="G69" i="7"/>
  <c r="H69" i="7" s="1"/>
  <c r="E88" i="7"/>
  <c r="G127" i="7"/>
  <c r="H127" i="7" s="1"/>
  <c r="F95" i="7"/>
  <c r="D52" i="7"/>
  <c r="D88" i="7"/>
  <c r="F68" i="7"/>
  <c r="F183" i="7"/>
  <c r="F88" i="7"/>
  <c r="H119" i="7"/>
  <c r="E131" i="7"/>
  <c r="E31" i="7"/>
  <c r="G5" i="7"/>
  <c r="H5" i="7" s="1"/>
  <c r="D155" i="7"/>
  <c r="H188" i="7"/>
  <c r="H192" i="7"/>
  <c r="E37" i="7"/>
  <c r="G64" i="7"/>
  <c r="H64" i="7" s="1"/>
  <c r="H70" i="7"/>
  <c r="H76" i="7"/>
  <c r="E123" i="7"/>
  <c r="H86" i="7"/>
  <c r="H87" i="7"/>
  <c r="H90" i="7"/>
  <c r="G104" i="7"/>
  <c r="H104" i="7" s="1"/>
  <c r="G105" i="7"/>
  <c r="H105" i="7" s="1"/>
  <c r="F136" i="7"/>
  <c r="D183" i="7"/>
  <c r="E155" i="7"/>
  <c r="E180" i="7"/>
  <c r="G150" i="7"/>
  <c r="H150" i="7" s="1"/>
  <c r="G151" i="7"/>
  <c r="H151" i="7" s="1"/>
  <c r="G154" i="7"/>
  <c r="H154" i="7" s="1"/>
  <c r="H165" i="7"/>
  <c r="G169" i="7"/>
  <c r="H169" i="7" s="1"/>
  <c r="F31" i="7"/>
  <c r="G39" i="7"/>
  <c r="G40" i="7"/>
  <c r="H40" i="7" s="1"/>
  <c r="G45" i="7"/>
  <c r="H45" i="7" s="1"/>
  <c r="D61" i="7"/>
  <c r="H58" i="7"/>
  <c r="D123" i="7"/>
  <c r="H128" i="7"/>
  <c r="D180" i="7"/>
  <c r="F180" i="7"/>
  <c r="H179" i="7"/>
  <c r="C195" i="7"/>
  <c r="C196" i="7" s="1"/>
  <c r="G195" i="7"/>
  <c r="H189" i="7"/>
  <c r="H191" i="7"/>
  <c r="H193" i="7"/>
  <c r="G33" i="7"/>
  <c r="H33" i="7" s="1"/>
  <c r="G34" i="7"/>
  <c r="H34" i="7" s="1"/>
  <c r="G35" i="7"/>
  <c r="H35" i="7" s="1"/>
  <c r="F52" i="7"/>
  <c r="G41" i="7"/>
  <c r="H41" i="7" s="1"/>
  <c r="G42" i="7"/>
  <c r="H42" i="7" s="1"/>
  <c r="G48" i="7"/>
  <c r="H48" i="7" s="1"/>
  <c r="G49" i="7"/>
  <c r="H49" i="7" s="1"/>
  <c r="H51" i="7"/>
  <c r="G53" i="7"/>
  <c r="H53" i="7" s="1"/>
  <c r="G54" i="7"/>
  <c r="H54" i="7" s="1"/>
  <c r="G55" i="7"/>
  <c r="H55" i="7" s="1"/>
  <c r="G56" i="7"/>
  <c r="H56" i="7" s="1"/>
  <c r="G57" i="7"/>
  <c r="G61" i="7" s="1"/>
  <c r="H60" i="7"/>
  <c r="G63" i="7"/>
  <c r="G71" i="7"/>
  <c r="H71" i="7" s="1"/>
  <c r="G72" i="7"/>
  <c r="H72" i="7" s="1"/>
  <c r="G73" i="7"/>
  <c r="H73" i="7" s="1"/>
  <c r="G74" i="7"/>
  <c r="H74" i="7" s="1"/>
  <c r="G75" i="7"/>
  <c r="H75" i="7" s="1"/>
  <c r="F123" i="7"/>
  <c r="G82" i="7"/>
  <c r="H82" i="7" s="1"/>
  <c r="G83" i="7"/>
  <c r="H83" i="7" s="1"/>
  <c r="E95" i="7"/>
  <c r="G93" i="7"/>
  <c r="H93" i="7" s="1"/>
  <c r="F98" i="7"/>
  <c r="G97" i="7"/>
  <c r="H97" i="7" s="1"/>
  <c r="G99" i="7"/>
  <c r="H99" i="7" s="1"/>
  <c r="G100" i="7"/>
  <c r="H100" i="7" s="1"/>
  <c r="G107" i="7"/>
  <c r="H107" i="7" s="1"/>
  <c r="G108" i="7"/>
  <c r="H108" i="7" s="1"/>
  <c r="E111" i="7"/>
  <c r="G111" i="7" s="1"/>
  <c r="H112" i="7"/>
  <c r="F120" i="7"/>
  <c r="G120" i="7" s="1"/>
  <c r="H121" i="7"/>
  <c r="F131" i="7"/>
  <c r="G129" i="7"/>
  <c r="H129" i="7" s="1"/>
  <c r="G130" i="7"/>
  <c r="H130" i="7" s="1"/>
  <c r="G133" i="7"/>
  <c r="H133" i="7" s="1"/>
  <c r="G138" i="7"/>
  <c r="H138" i="7" s="1"/>
  <c r="G139" i="7"/>
  <c r="H139" i="7" s="1"/>
  <c r="G140" i="7"/>
  <c r="H140" i="7" s="1"/>
  <c r="G142" i="7"/>
  <c r="H142" i="7" s="1"/>
  <c r="H143" i="7"/>
  <c r="G146" i="7"/>
  <c r="H146" i="7" s="1"/>
  <c r="F155" i="7"/>
  <c r="G148" i="7"/>
  <c r="H148" i="7" s="1"/>
  <c r="G149" i="7"/>
  <c r="H149" i="7" s="1"/>
  <c r="G153" i="7"/>
  <c r="H153" i="7" s="1"/>
  <c r="G157" i="7"/>
  <c r="H157" i="7" s="1"/>
  <c r="G158" i="7"/>
  <c r="H158" i="7" s="1"/>
  <c r="G159" i="7"/>
  <c r="H159" i="7" s="1"/>
  <c r="G160" i="7"/>
  <c r="H160" i="7" s="1"/>
  <c r="G161" i="7"/>
  <c r="H161" i="7" s="1"/>
  <c r="G162" i="7"/>
  <c r="H162" i="7" s="1"/>
  <c r="G163" i="7"/>
  <c r="H163" i="7" s="1"/>
  <c r="G164" i="7"/>
  <c r="H164" i="7" s="1"/>
  <c r="G176" i="7"/>
  <c r="H176" i="7" s="1"/>
  <c r="G182" i="7"/>
  <c r="H182" i="7" s="1"/>
  <c r="D78" i="7"/>
  <c r="H39" i="7"/>
  <c r="H91" i="7"/>
  <c r="G144" i="7"/>
  <c r="E52" i="7"/>
  <c r="E61" i="7"/>
  <c r="E68" i="7"/>
  <c r="D84" i="7"/>
  <c r="F84" i="7"/>
  <c r="G85" i="7"/>
  <c r="G88" i="7" s="1"/>
  <c r="G96" i="7"/>
  <c r="H96" i="7" s="1"/>
  <c r="E101" i="7"/>
  <c r="G101" i="7" s="1"/>
  <c r="H101" i="7" s="1"/>
  <c r="G109" i="7"/>
  <c r="H109" i="7" s="1"/>
  <c r="D111" i="7"/>
  <c r="G117" i="7"/>
  <c r="H117" i="7" s="1"/>
  <c r="D120" i="7"/>
  <c r="G126" i="7"/>
  <c r="D131" i="7"/>
  <c r="G134" i="7"/>
  <c r="H134" i="7" s="1"/>
  <c r="G141" i="7"/>
  <c r="D144" i="7"/>
  <c r="G156" i="7"/>
  <c r="H156" i="7" s="1"/>
  <c r="E183" i="7"/>
  <c r="D195" i="7"/>
  <c r="G3" i="7"/>
  <c r="G32" i="7"/>
  <c r="G81" i="7"/>
  <c r="E84" i="7"/>
  <c r="G89" i="7"/>
  <c r="H89" i="7" s="1"/>
  <c r="G103" i="7"/>
  <c r="H103" i="7" s="1"/>
  <c r="G147" i="7"/>
  <c r="H147" i="7" s="1"/>
  <c r="G168" i="7"/>
  <c r="H168" i="7" s="1"/>
  <c r="H184" i="7"/>
  <c r="B48" i="1"/>
  <c r="B50" i="1" s="1"/>
  <c r="E50" i="1"/>
  <c r="H195" i="7" l="1"/>
  <c r="H144" i="7"/>
  <c r="G68" i="7"/>
  <c r="H68" i="7" s="1"/>
  <c r="H63" i="7"/>
  <c r="G95" i="7"/>
  <c r="H95" i="7" s="1"/>
  <c r="G98" i="7"/>
  <c r="H98" i="7" s="1"/>
  <c r="G31" i="7"/>
  <c r="H31" i="7" s="1"/>
  <c r="G180" i="7"/>
  <c r="H180" i="7" s="1"/>
  <c r="H57" i="7"/>
  <c r="G131" i="7"/>
  <c r="H131" i="7" s="1"/>
  <c r="G155" i="7"/>
  <c r="H155" i="7" s="1"/>
  <c r="H111" i="7"/>
  <c r="H61" i="7"/>
  <c r="F78" i="7"/>
  <c r="F184" i="7" s="1"/>
  <c r="H196" i="7"/>
  <c r="H85" i="7"/>
  <c r="H88" i="7" s="1"/>
  <c r="G136" i="7"/>
  <c r="H136" i="7" s="1"/>
  <c r="G183" i="7"/>
  <c r="H183" i="7" s="1"/>
  <c r="H120" i="7"/>
  <c r="E78" i="7"/>
  <c r="E184" i="7" s="1"/>
  <c r="G52" i="7"/>
  <c r="H52" i="7" s="1"/>
  <c r="G123" i="7"/>
  <c r="H123" i="7" s="1"/>
  <c r="G84" i="7"/>
  <c r="H84" i="7" s="1"/>
  <c r="G37" i="7"/>
  <c r="H37" i="7" s="1"/>
  <c r="H32" i="7"/>
  <c r="H141" i="7"/>
  <c r="H81" i="7"/>
  <c r="H3" i="7"/>
  <c r="H126" i="7"/>
  <c r="H1181" i="6"/>
  <c r="H1175" i="6"/>
  <c r="H1177" i="6" s="1"/>
  <c r="G1175" i="6"/>
  <c r="G1177" i="6" s="1"/>
  <c r="G1136" i="6"/>
  <c r="G1138" i="6" s="1"/>
  <c r="H1135" i="6"/>
  <c r="H1136" i="6" s="1"/>
  <c r="H1138" i="6" s="1"/>
  <c r="H1110" i="6"/>
  <c r="G1110" i="6"/>
  <c r="H1104" i="6"/>
  <c r="H1106" i="6" s="1"/>
  <c r="G1104" i="6"/>
  <c r="G1106" i="6" s="1"/>
  <c r="H1092" i="6"/>
  <c r="G1092" i="6"/>
  <c r="H1089" i="6"/>
  <c r="G1089" i="6"/>
  <c r="H1079" i="6"/>
  <c r="H1081" i="6" s="1"/>
  <c r="G1079" i="6"/>
  <c r="G1081" i="6" s="1"/>
  <c r="H1072" i="6"/>
  <c r="H1074" i="6" s="1"/>
  <c r="G1072" i="6"/>
  <c r="G1074" i="6" s="1"/>
  <c r="G1068" i="6"/>
  <c r="H1066" i="6"/>
  <c r="H1068" i="6" s="1"/>
  <c r="G1066" i="6"/>
  <c r="H1060" i="6"/>
  <c r="H1062" i="6" s="1"/>
  <c r="G1060" i="6"/>
  <c r="G1062" i="6" s="1"/>
  <c r="H1054" i="6"/>
  <c r="H1056" i="6" s="1"/>
  <c r="G1054" i="6"/>
  <c r="G1056" i="6" s="1"/>
  <c r="H1047" i="6"/>
  <c r="H1049" i="6" s="1"/>
  <c r="G1047" i="6"/>
  <c r="G1049" i="6" s="1"/>
  <c r="H1041" i="6"/>
  <c r="H1043" i="6" s="1"/>
  <c r="G1041" i="6"/>
  <c r="G1043" i="6" s="1"/>
  <c r="H1034" i="6"/>
  <c r="H1036" i="6" s="1"/>
  <c r="G1034" i="6"/>
  <c r="G1036" i="6" s="1"/>
  <c r="H1030" i="6"/>
  <c r="G1030" i="6"/>
  <c r="H1026" i="6"/>
  <c r="G1026" i="6"/>
  <c r="H1019" i="6"/>
  <c r="G1019" i="6"/>
  <c r="H1015" i="6"/>
  <c r="G1015" i="6"/>
  <c r="H1011" i="6"/>
  <c r="G1011" i="6"/>
  <c r="H1007" i="6"/>
  <c r="G1007" i="6"/>
  <c r="H1002" i="6"/>
  <c r="G1002" i="6"/>
  <c r="H997" i="6"/>
  <c r="G997" i="6"/>
  <c r="H959" i="6"/>
  <c r="H961" i="6" s="1"/>
  <c r="G959" i="6"/>
  <c r="G961" i="6" s="1"/>
  <c r="H937" i="6"/>
  <c r="G937" i="6"/>
  <c r="H930" i="6"/>
  <c r="G930" i="6"/>
  <c r="H927" i="6"/>
  <c r="G927" i="6"/>
  <c r="H919" i="6"/>
  <c r="H921" i="6" s="1"/>
  <c r="G919" i="6"/>
  <c r="G921" i="6" s="1"/>
  <c r="H911" i="6"/>
  <c r="G911" i="6"/>
  <c r="G907" i="6"/>
  <c r="H905" i="6"/>
  <c r="H907" i="6" s="1"/>
  <c r="H901" i="6"/>
  <c r="H900" i="6"/>
  <c r="G900" i="6"/>
  <c r="G902" i="6" s="1"/>
  <c r="H882" i="6"/>
  <c r="H885" i="6" s="1"/>
  <c r="G882" i="6"/>
  <c r="H872" i="6"/>
  <c r="H874" i="6" s="1"/>
  <c r="G872" i="6"/>
  <c r="H859" i="6"/>
  <c r="H861" i="6" s="1"/>
  <c r="G859" i="6"/>
  <c r="H850" i="6"/>
  <c r="G850" i="6"/>
  <c r="H847" i="6"/>
  <c r="G847" i="6"/>
  <c r="G851" i="6" s="1"/>
  <c r="H832" i="6"/>
  <c r="H834" i="6" s="1"/>
  <c r="G832" i="6"/>
  <c r="G834" i="6" s="1"/>
  <c r="H807" i="6"/>
  <c r="G807" i="6"/>
  <c r="G784" i="6"/>
  <c r="H783" i="6"/>
  <c r="H784" i="6" s="1"/>
  <c r="H779" i="6"/>
  <c r="H778" i="6"/>
  <c r="G778" i="6"/>
  <c r="G780" i="6" s="1"/>
  <c r="G769" i="6"/>
  <c r="H768" i="6"/>
  <c r="H769" i="6" s="1"/>
  <c r="H766" i="6"/>
  <c r="G766" i="6"/>
  <c r="G758" i="6"/>
  <c r="H757" i="6"/>
  <c r="H758" i="6" s="1"/>
  <c r="H755" i="6"/>
  <c r="G755" i="6"/>
  <c r="G749" i="6"/>
  <c r="H748" i="6"/>
  <c r="H749" i="6" s="1"/>
  <c r="G743" i="6"/>
  <c r="H729" i="6"/>
  <c r="H743" i="6" s="1"/>
  <c r="G721" i="6"/>
  <c r="H720" i="6"/>
  <c r="H719" i="6"/>
  <c r="G716" i="6"/>
  <c r="H714" i="6"/>
  <c r="H713" i="6"/>
  <c r="H709" i="6"/>
  <c r="H700" i="6"/>
  <c r="H697" i="6"/>
  <c r="H696" i="6"/>
  <c r="H691" i="6"/>
  <c r="H684" i="6"/>
  <c r="H683" i="6"/>
  <c r="H679" i="6"/>
  <c r="H674" i="6"/>
  <c r="H673" i="6"/>
  <c r="H675" i="6" s="1"/>
  <c r="G673" i="6"/>
  <c r="G675" i="6" s="1"/>
  <c r="H653" i="6"/>
  <c r="H652" i="6"/>
  <c r="G652" i="6"/>
  <c r="G654" i="6" s="1"/>
  <c r="H642" i="6"/>
  <c r="H644" i="6" s="1"/>
  <c r="G642" i="6"/>
  <c r="G644" i="6" s="1"/>
  <c r="G636" i="6"/>
  <c r="H633" i="6"/>
  <c r="H631" i="6"/>
  <c r="H628" i="6"/>
  <c r="H629" i="6" s="1"/>
  <c r="G628" i="6"/>
  <c r="G629" i="6" s="1"/>
  <c r="H622" i="6"/>
  <c r="H621" i="6"/>
  <c r="G621" i="6"/>
  <c r="G623" i="6" s="1"/>
  <c r="H616" i="6"/>
  <c r="G616" i="6"/>
  <c r="H609" i="6"/>
  <c r="H611" i="6" s="1"/>
  <c r="G609" i="6"/>
  <c r="G611" i="6" s="1"/>
  <c r="H601" i="6"/>
  <c r="G601" i="6"/>
  <c r="H596" i="6"/>
  <c r="H595" i="6"/>
  <c r="G595" i="6"/>
  <c r="G597" i="6" s="1"/>
  <c r="H587" i="6"/>
  <c r="G587" i="6"/>
  <c r="H574" i="6"/>
  <c r="H573" i="6"/>
  <c r="G573" i="6"/>
  <c r="G575" i="6" s="1"/>
  <c r="H561" i="6"/>
  <c r="G561" i="6"/>
  <c r="H543" i="6"/>
  <c r="H542" i="6"/>
  <c r="G542" i="6"/>
  <c r="G544" i="6" s="1"/>
  <c r="H534" i="6"/>
  <c r="G534" i="6"/>
  <c r="H530" i="6"/>
  <c r="G530" i="6"/>
  <c r="G525" i="6"/>
  <c r="H524" i="6"/>
  <c r="H523" i="6"/>
  <c r="H522" i="6"/>
  <c r="G522" i="6"/>
  <c r="G526" i="6" s="1"/>
  <c r="H512" i="6"/>
  <c r="H509" i="6"/>
  <c r="G507" i="6"/>
  <c r="G509" i="6" s="1"/>
  <c r="H496" i="6"/>
  <c r="H495" i="6"/>
  <c r="G495" i="6"/>
  <c r="G497" i="6" s="1"/>
  <c r="G484" i="6"/>
  <c r="H483" i="6"/>
  <c r="G478" i="6"/>
  <c r="H477" i="6"/>
  <c r="H475" i="6"/>
  <c r="G475" i="6"/>
  <c r="H461" i="6"/>
  <c r="H460" i="6"/>
  <c r="G460" i="6"/>
  <c r="G462" i="6" s="1"/>
  <c r="G449" i="6"/>
  <c r="G400" i="6"/>
  <c r="H398" i="6"/>
  <c r="H400" i="6" s="1"/>
  <c r="H392" i="6"/>
  <c r="H388" i="6"/>
  <c r="H390" i="6" s="1"/>
  <c r="H386" i="6"/>
  <c r="G379" i="6"/>
  <c r="G381" i="6" s="1"/>
  <c r="H372" i="6"/>
  <c r="H379" i="6" s="1"/>
  <c r="H381" i="6" s="1"/>
  <c r="H366" i="6"/>
  <c r="H362" i="6"/>
  <c r="H364" i="6" s="1"/>
  <c r="G362" i="6"/>
  <c r="G364" i="6" s="1"/>
  <c r="H351" i="6"/>
  <c r="G350" i="6"/>
  <c r="G352" i="6" s="1"/>
  <c r="H345" i="6"/>
  <c r="H335" i="6"/>
  <c r="H334" i="6"/>
  <c r="G334" i="6"/>
  <c r="G336" i="6" s="1"/>
  <c r="H319" i="6"/>
  <c r="G319" i="6"/>
  <c r="H315" i="6"/>
  <c r="H320" i="6" s="1"/>
  <c r="G315" i="6"/>
  <c r="H308" i="6"/>
  <c r="H309" i="6" s="1"/>
  <c r="G308" i="6"/>
  <c r="G290" i="6"/>
  <c r="G271" i="6"/>
  <c r="G249" i="6"/>
  <c r="H239" i="6"/>
  <c r="H240" i="6" s="1"/>
  <c r="H234" i="6"/>
  <c r="G234" i="6" s="1"/>
  <c r="H233" i="6"/>
  <c r="H231" i="6"/>
  <c r="H232" i="6" s="1"/>
  <c r="H228" i="6"/>
  <c r="H227" i="6"/>
  <c r="H224" i="6"/>
  <c r="H219" i="6"/>
  <c r="H220" i="6" s="1"/>
  <c r="G218" i="6"/>
  <c r="G220" i="6" s="1"/>
  <c r="H207" i="6"/>
  <c r="H199" i="6"/>
  <c r="H196" i="6"/>
  <c r="H191" i="6"/>
  <c r="H188" i="6"/>
  <c r="G188" i="6"/>
  <c r="H183" i="6"/>
  <c r="H181" i="6"/>
  <c r="H180" i="6"/>
  <c r="G180" i="6"/>
  <c r="H179" i="6"/>
  <c r="H178" i="6"/>
  <c r="H164" i="6"/>
  <c r="H162" i="6"/>
  <c r="H160" i="6"/>
  <c r="H157" i="6"/>
  <c r="H154" i="6"/>
  <c r="H153" i="6"/>
  <c r="H152" i="6"/>
  <c r="H143" i="6"/>
  <c r="H141" i="6"/>
  <c r="H140" i="6"/>
  <c r="H137" i="6"/>
  <c r="H134" i="6"/>
  <c r="G134" i="6"/>
  <c r="H131" i="6"/>
  <c r="H130" i="6"/>
  <c r="H127" i="6"/>
  <c r="G127" i="6"/>
  <c r="H124" i="6"/>
  <c r="G124" i="6"/>
  <c r="H121" i="6"/>
  <c r="G121" i="6"/>
  <c r="G116" i="6"/>
  <c r="H112" i="6"/>
  <c r="H116" i="6" s="1"/>
  <c r="H117" i="6" s="1"/>
  <c r="G110" i="6"/>
  <c r="G57" i="6"/>
  <c r="G34" i="6"/>
  <c r="H4" i="6"/>
  <c r="H23" i="6" s="1"/>
  <c r="H25" i="6" s="1"/>
  <c r="G4" i="6"/>
  <c r="G23" i="6" s="1"/>
  <c r="G25" i="6" s="1"/>
  <c r="H198" i="5"/>
  <c r="H196" i="5"/>
  <c r="H193" i="5"/>
  <c r="G189" i="5"/>
  <c r="H188" i="5"/>
  <c r="H189" i="5" s="1"/>
  <c r="G185" i="5"/>
  <c r="H183" i="5"/>
  <c r="H185" i="5" s="1"/>
  <c r="H181" i="5"/>
  <c r="G181" i="5"/>
  <c r="H166" i="5"/>
  <c r="G166" i="5"/>
  <c r="H109" i="5"/>
  <c r="G109" i="5"/>
  <c r="H97" i="5"/>
  <c r="G97" i="5"/>
  <c r="G42" i="5"/>
  <c r="H6" i="5"/>
  <c r="H42" i="5" s="1"/>
  <c r="J561" i="3"/>
  <c r="I561" i="3"/>
  <c r="J556" i="3"/>
  <c r="I556" i="3"/>
  <c r="J551" i="3"/>
  <c r="I551" i="3"/>
  <c r="J547" i="3"/>
  <c r="I547" i="3"/>
  <c r="J535" i="3"/>
  <c r="I535" i="3"/>
  <c r="J528" i="3"/>
  <c r="I528" i="3"/>
  <c r="J516" i="3"/>
  <c r="J489" i="3"/>
  <c r="J482" i="3"/>
  <c r="J477" i="3"/>
  <c r="J464" i="3"/>
  <c r="J473" i="3" s="1"/>
  <c r="I464" i="3"/>
  <c r="I473" i="3" s="1"/>
  <c r="J450" i="3"/>
  <c r="J458" i="3" s="1"/>
  <c r="I450" i="3"/>
  <c r="I458" i="3" s="1"/>
  <c r="J436" i="3"/>
  <c r="I436" i="3"/>
  <c r="J427" i="3"/>
  <c r="I427" i="3"/>
  <c r="J394" i="3"/>
  <c r="I394" i="3"/>
  <c r="J380" i="3"/>
  <c r="I380" i="3"/>
  <c r="J375" i="3"/>
  <c r="I375" i="3"/>
  <c r="J346" i="3"/>
  <c r="J364" i="3" s="1"/>
  <c r="I346" i="3"/>
  <c r="J332" i="3"/>
  <c r="J333" i="3" s="1"/>
  <c r="I332" i="3"/>
  <c r="I333" i="3" s="1"/>
  <c r="J317" i="3"/>
  <c r="I317" i="3"/>
  <c r="J312" i="3"/>
  <c r="I312" i="3"/>
  <c r="J303" i="3"/>
  <c r="I303" i="3"/>
  <c r="J298" i="3"/>
  <c r="I298" i="3"/>
  <c r="J291" i="3"/>
  <c r="I291" i="3"/>
  <c r="J286" i="3"/>
  <c r="I286" i="3"/>
  <c r="J279" i="3"/>
  <c r="I279" i="3"/>
  <c r="J270" i="3"/>
  <c r="I270" i="3"/>
  <c r="J262" i="3"/>
  <c r="I262" i="3"/>
  <c r="J256" i="3"/>
  <c r="I256" i="3"/>
  <c r="J248" i="3"/>
  <c r="I248" i="3"/>
  <c r="J239" i="3"/>
  <c r="I239" i="3"/>
  <c r="J228" i="3"/>
  <c r="I228" i="3"/>
  <c r="J221" i="3"/>
  <c r="I221" i="3"/>
  <c r="J212" i="3"/>
  <c r="I212" i="3"/>
  <c r="J206" i="3"/>
  <c r="I206" i="3"/>
  <c r="J202" i="3"/>
  <c r="I202" i="3"/>
  <c r="J197" i="3"/>
  <c r="I197" i="3"/>
  <c r="J192" i="3"/>
  <c r="I192" i="3"/>
  <c r="J185" i="3"/>
  <c r="I185" i="3"/>
  <c r="J171" i="3"/>
  <c r="I171" i="3"/>
  <c r="J162" i="3"/>
  <c r="I162" i="3"/>
  <c r="J157" i="3"/>
  <c r="I157" i="3"/>
  <c r="J148" i="3"/>
  <c r="J318" i="3" s="1"/>
  <c r="I148" i="3"/>
  <c r="J116" i="3"/>
  <c r="I116" i="3"/>
  <c r="J111" i="3"/>
  <c r="I111" i="3"/>
  <c r="J105" i="3"/>
  <c r="I105" i="3"/>
  <c r="J95" i="3"/>
  <c r="I95" i="3"/>
  <c r="J88" i="3"/>
  <c r="I88" i="3"/>
  <c r="J84" i="3"/>
  <c r="I84" i="3"/>
  <c r="J72" i="3"/>
  <c r="I72" i="3"/>
  <c r="J58" i="3"/>
  <c r="I58" i="3"/>
  <c r="I119" i="3" s="1"/>
  <c r="J46" i="3"/>
  <c r="J32" i="3"/>
  <c r="J21" i="3"/>
  <c r="J33" i="3" s="1"/>
  <c r="I10" i="3"/>
  <c r="I539" i="3" s="1"/>
  <c r="I542" i="3" s="1"/>
  <c r="I544" i="3" s="1"/>
  <c r="J9" i="3"/>
  <c r="J7" i="3"/>
  <c r="B24" i="2"/>
  <c r="C23" i="2" s="1"/>
  <c r="G23" i="2"/>
  <c r="G22" i="2"/>
  <c r="G21" i="2"/>
  <c r="G20" i="2"/>
  <c r="G19" i="2"/>
  <c r="G18" i="2"/>
  <c r="G17" i="2"/>
  <c r="G16" i="2"/>
  <c r="G15" i="2"/>
  <c r="G14" i="2"/>
  <c r="G13" i="2"/>
  <c r="G12" i="2"/>
  <c r="C12" i="2"/>
  <c r="G11" i="2"/>
  <c r="G8" i="2"/>
  <c r="B8" i="2"/>
  <c r="G7" i="2"/>
  <c r="B7" i="2"/>
  <c r="G6" i="2"/>
  <c r="B6" i="2"/>
  <c r="G5" i="2"/>
  <c r="B74" i="1"/>
  <c r="C73" i="1" s="1"/>
  <c r="C38" i="1" s="1"/>
  <c r="G73" i="1"/>
  <c r="G38" i="1" s="1"/>
  <c r="D73" i="1"/>
  <c r="F73" i="1" s="1"/>
  <c r="G37" i="1"/>
  <c r="D72" i="1"/>
  <c r="F72" i="1" s="1"/>
  <c r="E74" i="1"/>
  <c r="D71" i="1"/>
  <c r="G35" i="1"/>
  <c r="D70" i="1"/>
  <c r="F70" i="1" s="1"/>
  <c r="G34" i="1"/>
  <c r="D69" i="1"/>
  <c r="F69" i="1" s="1"/>
  <c r="D68" i="1"/>
  <c r="B63" i="1"/>
  <c r="G62" i="1"/>
  <c r="G59" i="1"/>
  <c r="B54" i="1"/>
  <c r="D49" i="1"/>
  <c r="F49" i="1" s="1"/>
  <c r="B46" i="1"/>
  <c r="G45" i="1"/>
  <c r="G18" i="1" s="1"/>
  <c r="E45" i="1"/>
  <c r="E18" i="1" s="1"/>
  <c r="D45" i="1"/>
  <c r="C45" i="1"/>
  <c r="G44" i="1"/>
  <c r="G17" i="1" s="1"/>
  <c r="E44" i="1"/>
  <c r="D44" i="1"/>
  <c r="C44" i="1"/>
  <c r="G43" i="1"/>
  <c r="G46" i="1" s="1"/>
  <c r="E43" i="1"/>
  <c r="E16" i="1" s="1"/>
  <c r="D43" i="1"/>
  <c r="C43" i="1"/>
  <c r="C46" i="1" s="1"/>
  <c r="E38" i="1"/>
  <c r="B38" i="1"/>
  <c r="E37" i="1"/>
  <c r="B37" i="1"/>
  <c r="D37" i="1" s="1"/>
  <c r="G36" i="1"/>
  <c r="B36" i="1"/>
  <c r="D36" i="1" s="1"/>
  <c r="E35" i="1"/>
  <c r="B35" i="1"/>
  <c r="D35" i="1" s="1"/>
  <c r="E34" i="1"/>
  <c r="B34" i="1"/>
  <c r="G33" i="1"/>
  <c r="E33" i="1"/>
  <c r="B33" i="1"/>
  <c r="E30" i="1"/>
  <c r="B30" i="1"/>
  <c r="D30" i="1" s="1"/>
  <c r="B29" i="1"/>
  <c r="G19" i="1"/>
  <c r="E19" i="1"/>
  <c r="B18" i="1"/>
  <c r="D18" i="1" s="1"/>
  <c r="E17" i="1"/>
  <c r="B17" i="1"/>
  <c r="D17" i="1" s="1"/>
  <c r="B16" i="1"/>
  <c r="E12" i="1"/>
  <c r="E8" i="1"/>
  <c r="C16" i="2" l="1"/>
  <c r="G931" i="6"/>
  <c r="G1003" i="6"/>
  <c r="C14" i="2"/>
  <c r="H206" i="6"/>
  <c r="H208" i="6" s="1"/>
  <c r="H497" i="6"/>
  <c r="B6" i="1"/>
  <c r="D6" i="1" s="1"/>
  <c r="C22" i="2"/>
  <c r="C18" i="2"/>
  <c r="I536" i="3"/>
  <c r="J536" i="3"/>
  <c r="C71" i="1"/>
  <c r="C36" i="1" s="1"/>
  <c r="C20" i="2"/>
  <c r="H654" i="6"/>
  <c r="H716" i="6"/>
  <c r="C69" i="1"/>
  <c r="C34" i="1" s="1"/>
  <c r="C72" i="1"/>
  <c r="C37" i="1" s="1"/>
  <c r="D54" i="1"/>
  <c r="D56" i="1" s="1"/>
  <c r="D63" i="1"/>
  <c r="C11" i="2"/>
  <c r="C13" i="2"/>
  <c r="C15" i="2"/>
  <c r="C17" i="2"/>
  <c r="C19" i="2"/>
  <c r="C21" i="2"/>
  <c r="J517" i="3"/>
  <c r="G722" i="6"/>
  <c r="G759" i="6"/>
  <c r="B39" i="1"/>
  <c r="F43" i="1"/>
  <c r="F44" i="1"/>
  <c r="F45" i="1"/>
  <c r="J119" i="3"/>
  <c r="J437" i="3"/>
  <c r="H931" i="6"/>
  <c r="H1003" i="6"/>
  <c r="G1093" i="6"/>
  <c r="I563" i="3"/>
  <c r="G320" i="6"/>
  <c r="H634" i="6"/>
  <c r="H636" i="6" s="1"/>
  <c r="H759" i="6"/>
  <c r="H770" i="6"/>
  <c r="H1093" i="6"/>
  <c r="G74" i="1"/>
  <c r="H72" i="1" s="1"/>
  <c r="H37" i="1" s="1"/>
  <c r="F18" i="1"/>
  <c r="B31" i="1"/>
  <c r="F37" i="1"/>
  <c r="G117" i="6"/>
  <c r="G206" i="6"/>
  <c r="G208" i="6" s="1"/>
  <c r="H462" i="6"/>
  <c r="G479" i="6"/>
  <c r="H597" i="6"/>
  <c r="H780" i="6"/>
  <c r="G912" i="6"/>
  <c r="G78" i="7"/>
  <c r="H78" i="7" s="1"/>
  <c r="G39" i="1"/>
  <c r="G24" i="1" s="1"/>
  <c r="D74" i="1"/>
  <c r="F74" i="1" s="1"/>
  <c r="G7" i="1"/>
  <c r="B56" i="1"/>
  <c r="B64" i="1" s="1"/>
  <c r="C54" i="1" s="1"/>
  <c r="C56" i="1" s="1"/>
  <c r="E20" i="1"/>
  <c r="F17" i="1"/>
  <c r="F30" i="1"/>
  <c r="F35" i="1"/>
  <c r="H484" i="6"/>
  <c r="H750" i="6"/>
  <c r="H851" i="6"/>
  <c r="H875" i="6" s="1"/>
  <c r="G16" i="1"/>
  <c r="E29" i="1"/>
  <c r="E31" i="1" s="1"/>
  <c r="E23" i="1" s="1"/>
  <c r="E36" i="1"/>
  <c r="F36" i="1" s="1"/>
  <c r="E46" i="1"/>
  <c r="E54" i="1" s="1"/>
  <c r="D48" i="1"/>
  <c r="F48" i="1" s="1"/>
  <c r="C68" i="1"/>
  <c r="C33" i="1" s="1"/>
  <c r="J10" i="3"/>
  <c r="J414" i="3"/>
  <c r="G168" i="5"/>
  <c r="H199" i="5"/>
  <c r="G199" i="5"/>
  <c r="H336" i="6"/>
  <c r="H525" i="6"/>
  <c r="H526" i="6" s="1"/>
  <c r="H544" i="6"/>
  <c r="H575" i="6"/>
  <c r="H623" i="6"/>
  <c r="H721" i="6"/>
  <c r="G750" i="6"/>
  <c r="G770" i="6"/>
  <c r="H902" i="6"/>
  <c r="H912" i="6"/>
  <c r="B19" i="1"/>
  <c r="D19" i="1" s="1"/>
  <c r="F19" i="1" s="1"/>
  <c r="G29" i="1"/>
  <c r="G24" i="2"/>
  <c r="H17" i="2" s="1"/>
  <c r="G9" i="2"/>
  <c r="H8" i="2" s="1"/>
  <c r="B9" i="2"/>
  <c r="C7" i="2" s="1"/>
  <c r="H478" i="6"/>
  <c r="H479" i="6" s="1"/>
  <c r="H350" i="6"/>
  <c r="H352" i="6" s="1"/>
  <c r="H6" i="2"/>
  <c r="H12" i="2"/>
  <c r="B24" i="1"/>
  <c r="D50" i="1"/>
  <c r="F50" i="1" s="1"/>
  <c r="C49" i="1"/>
  <c r="C30" i="1" s="1"/>
  <c r="F6" i="1"/>
  <c r="H69" i="1"/>
  <c r="H34" i="1" s="1"/>
  <c r="H44" i="1"/>
  <c r="H45" i="1"/>
  <c r="D33" i="1"/>
  <c r="C48" i="1"/>
  <c r="F68" i="1"/>
  <c r="C70" i="1"/>
  <c r="C35" i="1" s="1"/>
  <c r="F71" i="1"/>
  <c r="D16" i="1"/>
  <c r="D29" i="1"/>
  <c r="D31" i="1" s="1"/>
  <c r="D34" i="1"/>
  <c r="F34" i="1" s="1"/>
  <c r="D38" i="1"/>
  <c r="H43" i="1"/>
  <c r="F33" i="1"/>
  <c r="D46" i="1"/>
  <c r="H22" i="2" l="1"/>
  <c r="H15" i="2"/>
  <c r="H21" i="2"/>
  <c r="G6" i="1"/>
  <c r="J537" i="3"/>
  <c r="J539" i="3" s="1"/>
  <c r="D64" i="1"/>
  <c r="G20" i="1"/>
  <c r="H16" i="1" s="1"/>
  <c r="G11" i="1"/>
  <c r="C63" i="1"/>
  <c r="C64" i="1" s="1"/>
  <c r="H5" i="2"/>
  <c r="C50" i="1"/>
  <c r="C29" i="1"/>
  <c r="C31" i="1" s="1"/>
  <c r="H70" i="1"/>
  <c r="H35" i="1" s="1"/>
  <c r="H73" i="1"/>
  <c r="H38" i="1" s="1"/>
  <c r="H68" i="1"/>
  <c r="H33" i="1" s="1"/>
  <c r="H71" i="1"/>
  <c r="H36" i="1" s="1"/>
  <c r="C5" i="2"/>
  <c r="C6" i="2"/>
  <c r="B25" i="2"/>
  <c r="C24" i="2" s="1"/>
  <c r="H7" i="2"/>
  <c r="H16" i="2"/>
  <c r="H23" i="2"/>
  <c r="H13" i="2"/>
  <c r="H1182" i="6"/>
  <c r="H722" i="6"/>
  <c r="H808" i="6" s="1"/>
  <c r="F46" i="1"/>
  <c r="C74" i="1"/>
  <c r="B7" i="1"/>
  <c r="G8" i="1"/>
  <c r="H7" i="1" s="1"/>
  <c r="H11" i="2"/>
  <c r="C8" i="2"/>
  <c r="H19" i="2"/>
  <c r="G25" i="2"/>
  <c r="H9" i="2" s="1"/>
  <c r="H14" i="2"/>
  <c r="H18" i="2"/>
  <c r="H20" i="2"/>
  <c r="B20" i="1"/>
  <c r="E39" i="1"/>
  <c r="E24" i="1" s="1"/>
  <c r="H46" i="1"/>
  <c r="H515" i="6"/>
  <c r="C9" i="2"/>
  <c r="C25" i="2" s="1"/>
  <c r="F31" i="1"/>
  <c r="F29" i="1"/>
  <c r="E25" i="1"/>
  <c r="C39" i="1"/>
  <c r="D24" i="1"/>
  <c r="F24" i="1" s="1"/>
  <c r="B11" i="1"/>
  <c r="E56" i="1"/>
  <c r="F54" i="1"/>
  <c r="B23" i="1"/>
  <c r="F16" i="1"/>
  <c r="D20" i="1"/>
  <c r="F20" i="1" s="1"/>
  <c r="D39" i="1"/>
  <c r="H19" i="1" l="1"/>
  <c r="H18" i="1"/>
  <c r="H17" i="1"/>
  <c r="H1183" i="6"/>
  <c r="G49" i="1" s="1"/>
  <c r="H74" i="1"/>
  <c r="H39" i="1"/>
  <c r="H24" i="2"/>
  <c r="H25" i="2" s="1"/>
  <c r="D7" i="1"/>
  <c r="B8" i="1"/>
  <c r="F39" i="1"/>
  <c r="H6" i="1"/>
  <c r="H8" i="1" s="1"/>
  <c r="C18" i="1"/>
  <c r="C16" i="1"/>
  <c r="C17" i="1"/>
  <c r="C19" i="1"/>
  <c r="B25" i="1"/>
  <c r="C24" i="1" s="1"/>
  <c r="D23" i="1"/>
  <c r="B10" i="1"/>
  <c r="D11" i="1"/>
  <c r="F11" i="1" s="1"/>
  <c r="E64" i="1"/>
  <c r="F56" i="1"/>
  <c r="H20" i="1" l="1"/>
  <c r="G30" i="1"/>
  <c r="G31" i="1" s="1"/>
  <c r="G23" i="1" s="1"/>
  <c r="G50" i="1"/>
  <c r="C20" i="1"/>
  <c r="F7" i="1"/>
  <c r="F8" i="1" s="1"/>
  <c r="D8" i="1"/>
  <c r="C6" i="1"/>
  <c r="C7" i="1"/>
  <c r="C23" i="1"/>
  <c r="C25" i="1" s="1"/>
  <c r="F64" i="1"/>
  <c r="D25" i="1"/>
  <c r="F25" i="1" s="1"/>
  <c r="F23" i="1"/>
  <c r="B12" i="1"/>
  <c r="C11" i="1" s="1"/>
  <c r="D10" i="1"/>
  <c r="H49" i="1" l="1"/>
  <c r="H30" i="1" s="1"/>
  <c r="G25" i="1"/>
  <c r="G10" i="1"/>
  <c r="G12" i="1" s="1"/>
  <c r="G54" i="1"/>
  <c r="J542" i="3" s="1"/>
  <c r="J544" i="3" s="1"/>
  <c r="J563" i="3" s="1"/>
  <c r="H48" i="1"/>
  <c r="C8" i="1"/>
  <c r="F10" i="1"/>
  <c r="F12" i="1" s="1"/>
  <c r="D12" i="1"/>
  <c r="C10" i="1"/>
  <c r="C12" i="1" s="1"/>
  <c r="H24" i="1" l="1"/>
  <c r="H23" i="1"/>
  <c r="G56" i="1"/>
  <c r="H50" i="1"/>
  <c r="H29" i="1"/>
  <c r="H31" i="1" s="1"/>
  <c r="H10" i="1"/>
  <c r="H11" i="1"/>
  <c r="H25" i="1" l="1"/>
  <c r="G64" i="1"/>
  <c r="H12" i="1"/>
  <c r="H63" i="1" l="1"/>
  <c r="H54" i="1"/>
  <c r="H56" i="1" s="1"/>
  <c r="H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OFOH</author>
  </authors>
  <commentList>
    <comment ref="G16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OFOH:</t>
        </r>
        <r>
          <rPr>
            <sz val="9"/>
            <color indexed="81"/>
            <rFont val="Tahoma"/>
            <family val="2"/>
          </rPr>
          <t xml:space="preserve">
Balancing Figure added to total
</t>
        </r>
      </text>
    </comment>
  </commentList>
</comments>
</file>

<file path=xl/sharedStrings.xml><?xml version="1.0" encoding="utf-8"?>
<sst xmlns="http://schemas.openxmlformats.org/spreadsheetml/2006/main" count="6785" uniqueCount="2280">
  <si>
    <t>DELTA STATE GOVERNMENT OF NIGERIA</t>
  </si>
  <si>
    <t>BUDGET SIZE</t>
  </si>
  <si>
    <t>DETAIL OF ITEM</t>
  </si>
  <si>
    <t>APPROVED BUDGET 2019</t>
  </si>
  <si>
    <t>% APP</t>
  </si>
  <si>
    <t>PROPORTIONATE BUDGET JAN - AUGUST, 2019</t>
  </si>
  <si>
    <t>ACTUAL JAN - AUGUST, 2019</t>
  </si>
  <si>
    <t>% PERF</t>
  </si>
  <si>
    <t>PROPOSED PROVISION 2020</t>
  </si>
  <si>
    <t>% PROP</t>
  </si>
  <si>
    <t>REVENUE</t>
  </si>
  <si>
    <t>Internally Generated Revenue &amp; Statutory Revenue Including Mineral Rev.Derivation</t>
  </si>
  <si>
    <t>Capital Receipts</t>
  </si>
  <si>
    <t>TOTAL REVENUE</t>
  </si>
  <si>
    <t>EXPENDITURE</t>
  </si>
  <si>
    <t>Recurrent Expenditure</t>
  </si>
  <si>
    <t>Capital Expenditure</t>
  </si>
  <si>
    <t>TOTAL EXPENDITURE</t>
  </si>
  <si>
    <t xml:space="preserve">Internally Generated Revenue </t>
  </si>
  <si>
    <t>Statutory Allocation Including Mineral Rev.Derivation</t>
  </si>
  <si>
    <t>Value Added Tax</t>
  </si>
  <si>
    <t>Other Capital Receipts/Miscellaneous</t>
  </si>
  <si>
    <t xml:space="preserve">EXPENDITURE </t>
  </si>
  <si>
    <t>RECURRENT EXPENDITURE</t>
  </si>
  <si>
    <t>Personnel Costs</t>
  </si>
  <si>
    <t>Overhead Costs</t>
  </si>
  <si>
    <t>Statutory Emolument</t>
  </si>
  <si>
    <t>Social Contribution</t>
  </si>
  <si>
    <t xml:space="preserve">Social Benefit </t>
  </si>
  <si>
    <t>Internal Debt Service</t>
  </si>
  <si>
    <t>Domestic Loan Repayment (Principal )</t>
  </si>
  <si>
    <t>External Loan Repayment</t>
  </si>
  <si>
    <t>Grants and Contribution</t>
  </si>
  <si>
    <t>TOTAL RECURRENT EXPENDITURE</t>
  </si>
  <si>
    <t>CAPITAL EXPENDITURE</t>
  </si>
  <si>
    <t>Administration Sector</t>
  </si>
  <si>
    <t>Economic Sector</t>
  </si>
  <si>
    <t>Law &amp; Justice Sector</t>
  </si>
  <si>
    <t>Regional Sector</t>
  </si>
  <si>
    <t>Social  Sector</t>
  </si>
  <si>
    <t>Contingency Fund</t>
  </si>
  <si>
    <t>TOTAL CAPITAL EXPENDITURE</t>
  </si>
  <si>
    <t>RECURRENT REVENUE</t>
  </si>
  <si>
    <t>Statutory Allocation Including Mineral Revenue Derivation</t>
  </si>
  <si>
    <t xml:space="preserve">TOTAL </t>
  </si>
  <si>
    <t>CAPITAL RECEIPTS</t>
  </si>
  <si>
    <t>Transfer from Recurrent Revenue Surplus</t>
  </si>
  <si>
    <t>Transfer from General  Reserve: State Stabilisation;Special Reserve; Savings as at 1st January</t>
  </si>
  <si>
    <t>Sub-Total Transfers</t>
  </si>
  <si>
    <t>Internal Grants</t>
  </si>
  <si>
    <t>External Grants</t>
  </si>
  <si>
    <t>Sub-Total Grants</t>
  </si>
  <si>
    <t>Internal Loans</t>
  </si>
  <si>
    <t>External Loans</t>
  </si>
  <si>
    <t>Sub-Total Loans</t>
  </si>
  <si>
    <t>TOTAL CAPITAL RECEIPTS</t>
  </si>
  <si>
    <t>APPROVED ESTIMATES 2019</t>
  </si>
  <si>
    <t>% APPROVED</t>
  </si>
  <si>
    <t>PROPORTIONATE ESTIMATES JAN - AUGUST, 2019</t>
  </si>
  <si>
    <t>ACTUAL JAN -AUGUST, 2019</t>
  </si>
  <si>
    <t>% PROPOSED</t>
  </si>
  <si>
    <t>Share of Federation Accounts Allocation (FAAC)</t>
  </si>
  <si>
    <t>Statutory Allocation</t>
  </si>
  <si>
    <t>Oil  Derivation</t>
  </si>
  <si>
    <t>VAT</t>
  </si>
  <si>
    <t>Excess Crude/Other Revenue</t>
  </si>
  <si>
    <t>Total Share of Federation Accounts Allocation (FAAC)</t>
  </si>
  <si>
    <t>Internally Generated Revenue (IGR)</t>
  </si>
  <si>
    <t>Taxes Revenue</t>
  </si>
  <si>
    <t>Licences General</t>
  </si>
  <si>
    <t>Fees – General</t>
  </si>
  <si>
    <t>Fines – General</t>
  </si>
  <si>
    <t>Sales – General</t>
  </si>
  <si>
    <t xml:space="preserve">Earnings – General </t>
  </si>
  <si>
    <t>Rent On Government Buildings – General</t>
  </si>
  <si>
    <t>Rent on Land and Others – General</t>
  </si>
  <si>
    <t>Repayments</t>
  </si>
  <si>
    <t xml:space="preserve">Investment Income </t>
  </si>
  <si>
    <t>Interest Earned</t>
  </si>
  <si>
    <t>Reimbursement</t>
  </si>
  <si>
    <t>Miscellaneous Income</t>
  </si>
  <si>
    <t>Total Internally Generated Revenue (IGR)</t>
  </si>
  <si>
    <t xml:space="preserve"> Total Recurrent Revenue</t>
  </si>
  <si>
    <t>REVENUE Code</t>
  </si>
  <si>
    <t>DETAILS OF REVENUE</t>
  </si>
  <si>
    <t>Business Area</t>
  </si>
  <si>
    <t>Fund</t>
  </si>
  <si>
    <t>Fund Centre</t>
  </si>
  <si>
    <t>Commitment Item</t>
  </si>
  <si>
    <t>Function Area</t>
  </si>
  <si>
    <t>Funded Program</t>
  </si>
  <si>
    <t>426.</t>
  </si>
  <si>
    <t>02101</t>
  </si>
  <si>
    <t>F100000001</t>
  </si>
  <si>
    <t>00011010101</t>
  </si>
  <si>
    <t>00220000050102</t>
  </si>
  <si>
    <t>00011010102</t>
  </si>
  <si>
    <t>00011010201</t>
  </si>
  <si>
    <t>00220000050103</t>
  </si>
  <si>
    <t>Excess Crude / Other Revenue</t>
  </si>
  <si>
    <t>Total Share of Federation Accounts Allocation</t>
  </si>
  <si>
    <t>Independent Revenue (Internally Generated Revenue)</t>
  </si>
  <si>
    <t>Taxes - 12010000</t>
  </si>
  <si>
    <t>Personal Taxes - 12010100</t>
  </si>
  <si>
    <t>'</t>
  </si>
  <si>
    <t>BOARD OF INTERNAL REVENUE (BIR) - 0210000000</t>
  </si>
  <si>
    <t>Personal Income Tax (PAYE)</t>
  </si>
  <si>
    <t>F210010000</t>
  </si>
  <si>
    <t>00012010101</t>
  </si>
  <si>
    <t>00220000050101</t>
  </si>
  <si>
    <t xml:space="preserve">Personal Income Tax (Self Employed Persons) </t>
  </si>
  <si>
    <t>00012010102</t>
  </si>
  <si>
    <t>Tax Audit and Investigation(Personal Income Tax &amp; others)</t>
  </si>
  <si>
    <t>00012010104</t>
  </si>
  <si>
    <t>Penalty for late or non submission of annual returns</t>
  </si>
  <si>
    <t>00012010106</t>
  </si>
  <si>
    <t>Identifiable Group Tax</t>
  </si>
  <si>
    <t>Sub-Total</t>
  </si>
  <si>
    <t>Other Taxes - 12010200</t>
  </si>
  <si>
    <t>Capital Gains Tax</t>
  </si>
  <si>
    <t>00012010206</t>
  </si>
  <si>
    <t>Pools Betting Tax</t>
  </si>
  <si>
    <t>00012010208</t>
  </si>
  <si>
    <t>Property Tax</t>
  </si>
  <si>
    <t>00012010203</t>
  </si>
  <si>
    <t>Cattle Tax</t>
  </si>
  <si>
    <t>00012010215</t>
  </si>
  <si>
    <t>Reimbursement of Tax on Dividends</t>
  </si>
  <si>
    <t>00012010204</t>
  </si>
  <si>
    <t>Interest Income</t>
  </si>
  <si>
    <t>00012010205</t>
  </si>
  <si>
    <t>Withholding Tax</t>
  </si>
  <si>
    <t>00012010210</t>
  </si>
  <si>
    <t>Total Taxes</t>
  </si>
  <si>
    <t>Licences  - General - 12020100</t>
  </si>
  <si>
    <t>Pools Betting Licensing Fees</t>
  </si>
  <si>
    <t>00012020116</t>
  </si>
  <si>
    <t>Drivers Licenses and Permits</t>
  </si>
  <si>
    <t>00012020118</t>
  </si>
  <si>
    <t>Motor vehicles license</t>
  </si>
  <si>
    <t>00012020119</t>
  </si>
  <si>
    <t>Motor Vehicle Registration &amp;Weighing</t>
  </si>
  <si>
    <t>Sales of  Vehicle Registration Books</t>
  </si>
  <si>
    <t>Commercial Motor Cycle Ticket</t>
  </si>
  <si>
    <t>Motor Vehicle/ Driving Licenses/ Learners P</t>
  </si>
  <si>
    <t>Lottery Tax/ License</t>
  </si>
  <si>
    <t>cCinema License</t>
  </si>
  <si>
    <t xml:space="preserve">Arrears of PAYE of FMDAs </t>
  </si>
  <si>
    <t>DELTA STATE SPORTS COMMISSION - 0505</t>
  </si>
  <si>
    <t xml:space="preserve">Social Club Registration </t>
  </si>
  <si>
    <t>F505010000</t>
  </si>
  <si>
    <t>00012020103</t>
  </si>
  <si>
    <t>MINISTRY OF WATER RESOURCES - 0206</t>
  </si>
  <si>
    <t>Water Charges</t>
  </si>
  <si>
    <t>Borehole Charges</t>
  </si>
  <si>
    <t>F206010000</t>
  </si>
  <si>
    <t>00012020115</t>
  </si>
  <si>
    <t>30,0000</t>
  </si>
  <si>
    <t>MINISTRY OF AGRIC &amp; NATURAL RESOURCES - 0206</t>
  </si>
  <si>
    <t>VERTINARY BUSINESS PREMISES REG. FEES</t>
  </si>
  <si>
    <t>F203010000</t>
  </si>
  <si>
    <t>00012020130</t>
  </si>
  <si>
    <t>Ice Plant (Coldroom) Patani</t>
  </si>
  <si>
    <t>Ice Plant (Coldroom) Warri</t>
  </si>
  <si>
    <t>Veterinary Clinic</t>
  </si>
  <si>
    <t>MINISTRY OF HEALTH - 0508</t>
  </si>
  <si>
    <t>Registration of new Homes</t>
  </si>
  <si>
    <t>F508010000</t>
  </si>
  <si>
    <t>00012020122</t>
  </si>
  <si>
    <t>Reg. of Private Health Institutions</t>
  </si>
  <si>
    <t>Pharmacy Stores</t>
  </si>
  <si>
    <t>00012020120</t>
  </si>
  <si>
    <t>Pharmacy License fee</t>
  </si>
  <si>
    <t>Renewal of Pharmacy License fee</t>
  </si>
  <si>
    <t>00012020153</t>
  </si>
  <si>
    <t>Reg.of Trad. Med.Hosp. Clinic &amp; Homes</t>
  </si>
  <si>
    <t>Renewal fee</t>
  </si>
  <si>
    <t>Certificate and License of Practitioners</t>
  </si>
  <si>
    <t>00012020151</t>
  </si>
  <si>
    <t>Reg.of Practitioners</t>
  </si>
  <si>
    <t>Renewal of License</t>
  </si>
  <si>
    <t>Collection of Forms</t>
  </si>
  <si>
    <t>Patent Medicine and Vendors License Fees</t>
  </si>
  <si>
    <t>FIRE SERVICE DEPARTMENT - 0110</t>
  </si>
  <si>
    <t>Fire License</t>
  </si>
  <si>
    <t>F110010400</t>
  </si>
  <si>
    <t>00012020404</t>
  </si>
  <si>
    <t>MINISTRY OF HIGHER EDUCATION - 0507</t>
  </si>
  <si>
    <t>Reg. Fees ( Private University)</t>
  </si>
  <si>
    <t>F507010000</t>
  </si>
  <si>
    <t>00012020121</t>
  </si>
  <si>
    <t>Reg. Fees ( Private Poly/ Monothecnic.)</t>
  </si>
  <si>
    <t>License Fee (Diploma Awarding Inst.)</t>
  </si>
  <si>
    <t>00012020152</t>
  </si>
  <si>
    <t>License Fee (Certificate Awarding Inst.)</t>
  </si>
  <si>
    <t>Renewal fees for already approved Institution</t>
  </si>
  <si>
    <t>Registration Fee for Computer Instution</t>
  </si>
  <si>
    <t>MINISTRY OF COMM. &amp; INDUSTRY - 0504</t>
  </si>
  <si>
    <t>Reg. of Business Premises</t>
  </si>
  <si>
    <t>F204010000</t>
  </si>
  <si>
    <t>00012020147</t>
  </si>
  <si>
    <t>Registration of Coperative Fees</t>
  </si>
  <si>
    <t>00012020146</t>
  </si>
  <si>
    <t>MINISTRY OF ENVIRONMENT - 0504</t>
  </si>
  <si>
    <t>Games and sawmill licenses</t>
  </si>
  <si>
    <t>F504010000</t>
  </si>
  <si>
    <t>00012020125</t>
  </si>
  <si>
    <t>Waste Discharge &amp; Disposal Permit</t>
  </si>
  <si>
    <t>00012020132</t>
  </si>
  <si>
    <t>Reg. of Timber Contractors</t>
  </si>
  <si>
    <t>00012020140</t>
  </si>
  <si>
    <t>Reg./Accred. of Environmental Consultants Fees</t>
  </si>
  <si>
    <t>00012020139</t>
  </si>
  <si>
    <t>Treatment Plant Permit/Registration of Projects Fees</t>
  </si>
  <si>
    <t>00012020138</t>
  </si>
  <si>
    <t>MINISTRY OF BASIC AND SECONDARY EDUCATION - 0506</t>
  </si>
  <si>
    <t>Annual Revenue of Operating Licenses of Schools</t>
  </si>
  <si>
    <t>Priv.Educ.Inst.:Appl.&amp; Reg.fees</t>
  </si>
  <si>
    <t>F506010000</t>
  </si>
  <si>
    <t>DELTA STATE ENVIRONMENTAL PROTECTION AGENCY (DELSEPA) -0504010900</t>
  </si>
  <si>
    <t>Accreditation of Enviro. Conltant. (Delsepa)</t>
  </si>
  <si>
    <t>F504010900</t>
  </si>
  <si>
    <t>DIRECTORATE OF TRANSPORT - 0215</t>
  </si>
  <si>
    <t>Road Worthiness</t>
  </si>
  <si>
    <t>F215010000</t>
  </si>
  <si>
    <t>00012020145</t>
  </si>
  <si>
    <t>Commercial Tri-cycle Ticket Permit</t>
  </si>
  <si>
    <t>00012020129</t>
  </si>
  <si>
    <t>DELTA STATE TRAFFIC MANAGEMENT AUTHORITY - 0215</t>
  </si>
  <si>
    <t>Registration/ Accreditation of Driving School in Delta State</t>
  </si>
  <si>
    <t>F215010800</t>
  </si>
  <si>
    <t>Annual Renewal of Operating Lincense of Driving School</t>
  </si>
  <si>
    <t xml:space="preserve">commercial Tri-cycle/ Ticket permit </t>
  </si>
  <si>
    <t>Commercial motor cycle ticket</t>
  </si>
  <si>
    <t>MINISTRY OF WOMEN AFFAIRS, COMMUNITY AND SOCIAL DEVELOPMENT - 0509</t>
  </si>
  <si>
    <t>Reg.of Comm.Dev.Ass.</t>
  </si>
  <si>
    <t>F509010000</t>
  </si>
  <si>
    <t>Reg. of NGO'S</t>
  </si>
  <si>
    <t>00012020144</t>
  </si>
  <si>
    <t>Reg. of Pub.&amp; Private Pre-Pry Institution</t>
  </si>
  <si>
    <t>00012020149</t>
  </si>
  <si>
    <t>DIRECTORATE OF CULTURE &amp; TOURISM -  0202</t>
  </si>
  <si>
    <t>Reg of Hotel,Tourism Enterprises.etc.</t>
  </si>
  <si>
    <t>F202010000</t>
  </si>
  <si>
    <t>00012020150</t>
  </si>
  <si>
    <t>TOTAL, LICENCES</t>
  </si>
  <si>
    <t>FEES GENERAL - 12020400</t>
  </si>
  <si>
    <t>MINISTRY OF AGRICULTURE</t>
  </si>
  <si>
    <t>Produce Inspection Fee</t>
  </si>
  <si>
    <t>00012020418</t>
  </si>
  <si>
    <t>100,000</t>
  </si>
  <si>
    <t>Oghara</t>
  </si>
  <si>
    <t>102L</t>
  </si>
  <si>
    <t>Agbor</t>
  </si>
  <si>
    <t>212A</t>
  </si>
  <si>
    <t>Patani</t>
  </si>
  <si>
    <t>322.</t>
  </si>
  <si>
    <t>Utagba-Uno</t>
  </si>
  <si>
    <t>213.</t>
  </si>
  <si>
    <t>Sapele</t>
  </si>
  <si>
    <t>104.</t>
  </si>
  <si>
    <t>00012020423</t>
  </si>
  <si>
    <t>Contractors' Registration Fees</t>
  </si>
  <si>
    <t>00012020415</t>
  </si>
  <si>
    <t>Vertinary Inspection Fees</t>
  </si>
  <si>
    <t>00012020419</t>
  </si>
  <si>
    <t>Vertinary Control Post</t>
  </si>
  <si>
    <t>Ugbenu</t>
  </si>
  <si>
    <t>Livestock Market Fees</t>
  </si>
  <si>
    <t>00012020420</t>
  </si>
  <si>
    <t>Meat Inspection Fee</t>
  </si>
  <si>
    <t>00012020416</t>
  </si>
  <si>
    <t>Delta North</t>
  </si>
  <si>
    <t>Delta Central</t>
  </si>
  <si>
    <t>Warri LGAs</t>
  </si>
  <si>
    <t>Isoko LGAs</t>
  </si>
  <si>
    <t>Communal Farms: Farm Land Lease</t>
  </si>
  <si>
    <t>Oleh</t>
  </si>
  <si>
    <t>Irri</t>
  </si>
  <si>
    <t>Abbi</t>
  </si>
  <si>
    <t>BOARD OF INTERNAL REVENUE (BIR) - 0210</t>
  </si>
  <si>
    <t>Stamp Duties &amp; Penalties</t>
  </si>
  <si>
    <t>00012020440</t>
  </si>
  <si>
    <t>Development Levy</t>
  </si>
  <si>
    <t>00012020439</t>
  </si>
  <si>
    <t>Telecommunication Right of way &amp;Allied Matters</t>
  </si>
  <si>
    <t>Road Traffic Exam Fees</t>
  </si>
  <si>
    <t>Identifiable Group  Tax (IGT)</t>
  </si>
  <si>
    <t>Passenger Carriage Fee/Ticket</t>
  </si>
  <si>
    <t>00012020422</t>
  </si>
  <si>
    <t>OFFICE OF THE AUDITOR-GENERAL (STATE) - 0113</t>
  </si>
  <si>
    <t>External Auditors Registration Fees.</t>
  </si>
  <si>
    <t>F113010000</t>
  </si>
  <si>
    <t>00012020429</t>
  </si>
  <si>
    <t>Statutory Deductions Fees from External Auditors</t>
  </si>
  <si>
    <t>Tender Fees</t>
  </si>
  <si>
    <t>00012020425</t>
  </si>
  <si>
    <t>OFFICE OF THE AUDITOR-GENERAL (LOCAL GOVERNMENT) - 0114</t>
  </si>
  <si>
    <t>Audit of Local Govts Account</t>
  </si>
  <si>
    <t>F114000000</t>
  </si>
  <si>
    <t>Audit of L Govt Pension Fund</t>
  </si>
  <si>
    <t>Audit of L.G.Serv. Comm</t>
  </si>
  <si>
    <t>Tenders' Fees</t>
  </si>
  <si>
    <t>Consultancy services (Excess Bank Charges)</t>
  </si>
  <si>
    <t>00012020441</t>
  </si>
  <si>
    <t>Audit of Community Development Committees</t>
  </si>
  <si>
    <t>Audit of 25 Local Education Authorities</t>
  </si>
  <si>
    <t xml:space="preserve">Forest Tarriff on Stumpage Rates </t>
  </si>
  <si>
    <t>00012020413</t>
  </si>
  <si>
    <t>Toll Fees on movement of Log/Plant/Timber/Pltwood/Partial Board</t>
  </si>
  <si>
    <t>00012020411</t>
  </si>
  <si>
    <t>Ecological Tariff</t>
  </si>
  <si>
    <t>00012020414</t>
  </si>
  <si>
    <t>Effluent Discharge/Gaseous Emission Fees</t>
  </si>
  <si>
    <t>00012020403</t>
  </si>
  <si>
    <t>Log Control Fees (Forestry)</t>
  </si>
  <si>
    <t>Tree felled fees</t>
  </si>
  <si>
    <t>00012020409</t>
  </si>
  <si>
    <t>Forest Stampage Fees</t>
  </si>
  <si>
    <t>Forest Product/Exploited Trees</t>
  </si>
  <si>
    <t>00012020412</t>
  </si>
  <si>
    <t>Forest General</t>
  </si>
  <si>
    <t>00012020410</t>
  </si>
  <si>
    <t>Forestry Log Control Fees</t>
  </si>
  <si>
    <t>250,000</t>
  </si>
  <si>
    <t>Payment for Environmental Service (PES)</t>
  </si>
  <si>
    <t>Pollution/Effluent/Discharge Permit Fees</t>
  </si>
  <si>
    <t>F0504010900</t>
  </si>
  <si>
    <t>STATE TENDERS BOARD - 0102</t>
  </si>
  <si>
    <t>Contractors' Reg.&amp; Renewal Fees</t>
  </si>
  <si>
    <t>F102010500</t>
  </si>
  <si>
    <t>(State Tenders Board)</t>
  </si>
  <si>
    <t>MINISTRY OF ENERGY - 0205</t>
  </si>
  <si>
    <t>Tender's Fee</t>
  </si>
  <si>
    <t>F205010000</t>
  </si>
  <si>
    <t>Pre-Contract Reg. Fees.</t>
  </si>
  <si>
    <t>LED Display Boards</t>
  </si>
  <si>
    <t>00012020438</t>
  </si>
  <si>
    <t>MINISTRY OF WORKS - 0213010000</t>
  </si>
  <si>
    <t>Contractors Registration &amp; Renewal Fees</t>
  </si>
  <si>
    <t>F213010000</t>
  </si>
  <si>
    <t>Tenders Fees</t>
  </si>
  <si>
    <t>HIGH COURT OF JUSTICE - 0302</t>
  </si>
  <si>
    <t>High Courts fees</t>
  </si>
  <si>
    <t>F302010000</t>
  </si>
  <si>
    <t>00012020430</t>
  </si>
  <si>
    <t>High Courts Prom/Comf Exams Fees</t>
  </si>
  <si>
    <t>CUSTOMARY COURT OF APPEAL - 0303</t>
  </si>
  <si>
    <t>Cust. Courts Prom/Comf Exams Fees for Jud. Workers</t>
  </si>
  <si>
    <t>F303010000</t>
  </si>
  <si>
    <t>00012020431</t>
  </si>
  <si>
    <t>Customary  Court fees</t>
  </si>
  <si>
    <t>Area Customary Courts</t>
  </si>
  <si>
    <t>District Customary Courts</t>
  </si>
  <si>
    <t>MINISTRY OF LANDS, SURVEY &amp; URBAN DEV - 0201</t>
  </si>
  <si>
    <t xml:space="preserve">Search Fee Lands, Survey &amp; Urban Dev. Transaction </t>
  </si>
  <si>
    <t>F201010000</t>
  </si>
  <si>
    <t>00012020424</t>
  </si>
  <si>
    <t xml:space="preserve">C of O Processing </t>
  </si>
  <si>
    <t>00012020433</t>
  </si>
  <si>
    <t xml:space="preserve">Recertification </t>
  </si>
  <si>
    <t>00012020434</t>
  </si>
  <si>
    <t>Land Regularisation</t>
  </si>
  <si>
    <t>00012020435</t>
  </si>
  <si>
    <t>Town Planning Fees</t>
  </si>
  <si>
    <t>Mining Quarrying Fees</t>
  </si>
  <si>
    <t>Others (Focus on Special Audit) e.g Telecom Mast, Petrol/Gas Stn.</t>
  </si>
  <si>
    <t>URBAN AND REGIONAL PLANNING - 0201</t>
  </si>
  <si>
    <t>Fee for Registration and Assessment of Building Plans</t>
  </si>
  <si>
    <t>F201010700</t>
  </si>
  <si>
    <t>Oil Pipeline, Surveys,Public  Hearing and Gazettes</t>
  </si>
  <si>
    <t>Charting Printing and Scanning</t>
  </si>
  <si>
    <t>Revenue from Survey of Land(Government  Land Allocation</t>
  </si>
  <si>
    <t>DIRECTORATE OF SUSTAINABLE DEVELOPMENT GOALS (SDGs)-1010</t>
  </si>
  <si>
    <t>F101010519</t>
  </si>
  <si>
    <t>,00012020705</t>
  </si>
  <si>
    <t>OFFICE OF THE SURVEYOR GENERAL - 0216</t>
  </si>
  <si>
    <t>Pipe Line Survey Permit Fees</t>
  </si>
  <si>
    <t>F216010000</t>
  </si>
  <si>
    <t>Plan Lodgment Fees</t>
  </si>
  <si>
    <t>Certify True Copy of Survey Plan</t>
  </si>
  <si>
    <t>C of O Survey Plans</t>
  </si>
  <si>
    <t>Land Allocation Fees</t>
  </si>
  <si>
    <t>02102</t>
  </si>
  <si>
    <t>F216010001</t>
  </si>
  <si>
    <t>70620</t>
  </si>
  <si>
    <t>Search Fees</t>
  </si>
  <si>
    <t>02103</t>
  </si>
  <si>
    <t>F216010002</t>
  </si>
  <si>
    <t>Charting</t>
  </si>
  <si>
    <t>02104</t>
  </si>
  <si>
    <t>F216010003</t>
  </si>
  <si>
    <t>70621</t>
  </si>
  <si>
    <t>SPORTS COMMISSION</t>
  </si>
  <si>
    <t>Transfer of Players/ Hire fee</t>
  </si>
  <si>
    <t>Exam Enrolment Fees for School of Nursing &amp; Midwifery</t>
  </si>
  <si>
    <t>Application Forms for Nursing and Maternity Homes</t>
  </si>
  <si>
    <t>00012020428</t>
  </si>
  <si>
    <t>Hospitals Fees</t>
  </si>
  <si>
    <t>DELSUTH, Oghara</t>
  </si>
  <si>
    <t>00012020421</t>
  </si>
  <si>
    <t>URBAN WATER BOARD - 0206</t>
  </si>
  <si>
    <t>Water Charges.</t>
  </si>
  <si>
    <t>F206010401</t>
  </si>
  <si>
    <t>00012020406</t>
  </si>
  <si>
    <t>MINISTRY OF HIGHER  EDUCATION - 0507</t>
  </si>
  <si>
    <t>Tenders Fee</t>
  </si>
  <si>
    <t>'00012020425</t>
  </si>
  <si>
    <t>Higher Education</t>
  </si>
  <si>
    <t>Fire Precaution Inspection fees</t>
  </si>
  <si>
    <t>Petrol Stations</t>
  </si>
  <si>
    <t>00012020427</t>
  </si>
  <si>
    <t>Industrial Enterprises</t>
  </si>
  <si>
    <t>Cinema Theatres</t>
  </si>
  <si>
    <t>MINISTRY OF YOUTH DEVELOPMENT - 0501</t>
  </si>
  <si>
    <t xml:space="preserve"> Social Club Registration/Renewal Fees</t>
  </si>
  <si>
    <t>F501010000</t>
  </si>
  <si>
    <t>00012020405</t>
  </si>
  <si>
    <t>MINISTRY OF COMMERCE &amp; INDUSTRY -  0204</t>
  </si>
  <si>
    <t>Unspecified (Auditing &amp; Reg.of Coop. Soc.)</t>
  </si>
  <si>
    <t>70411</t>
  </si>
  <si>
    <t>Business Premises Fees</t>
  </si>
  <si>
    <t>Recertification of Cooperative Societies</t>
  </si>
  <si>
    <t>Pri.Sch.leaving cert./Entr.into Sec. Sch./ Entr. Exam into Model schs.</t>
  </si>
  <si>
    <t>Grade II teacher's cert exam</t>
  </si>
  <si>
    <t>TVEB Tender Fees</t>
  </si>
  <si>
    <t>School Dev. Levy</t>
  </si>
  <si>
    <t>00012020426</t>
  </si>
  <si>
    <t>Use of School Premises</t>
  </si>
  <si>
    <t>OFFICE OF THE SSG (LIAISON OFFICES) - 0104</t>
  </si>
  <si>
    <t>(Lagos) Attestation Fees</t>
  </si>
  <si>
    <t>F104010300</t>
  </si>
  <si>
    <t>70111</t>
  </si>
  <si>
    <t>(Abuja) Attestation Fees</t>
  </si>
  <si>
    <t>(Abuja)Tender Fees</t>
  </si>
  <si>
    <t>Fees for Letter of Introduction to Embassies/Notes Verbal</t>
  </si>
  <si>
    <t xml:space="preserve">Application Fees for Legal Documents </t>
  </si>
  <si>
    <t>OFFI CE OF THE SSG  - 0104</t>
  </si>
  <si>
    <t>Application For Legal Document</t>
  </si>
  <si>
    <t>F104010000</t>
  </si>
  <si>
    <t>Corner Grocery</t>
  </si>
  <si>
    <t>Attestation Fee (  S.S.G)</t>
  </si>
  <si>
    <t>DIRECTORATE OF ESTBABLISHMENT AND PENSION - 0108</t>
  </si>
  <si>
    <t>Sch.fees from staff train.center</t>
  </si>
  <si>
    <t>F108010000</t>
  </si>
  <si>
    <t>Reg.fees for S.T.C students</t>
  </si>
  <si>
    <t>Ltd comp.exam into sub clerical grade</t>
  </si>
  <si>
    <t>Confirmation/ promotion exam</t>
  </si>
  <si>
    <t>Delta State secretarial exam</t>
  </si>
  <si>
    <t>Total</t>
  </si>
  <si>
    <t>FSP Dcare Nur.Prim.Sch., Asaba</t>
  </si>
  <si>
    <t>DIRECTORATE OF CHIEFTAINCY AFFAIRS - 0502</t>
  </si>
  <si>
    <t>Payt.for Chieftaincy Certificate</t>
  </si>
  <si>
    <t>F502010000</t>
  </si>
  <si>
    <t>MINISTRY OF JUSTICE - 0301</t>
  </si>
  <si>
    <t>Agreement   Fees</t>
  </si>
  <si>
    <t>F301010000</t>
  </si>
  <si>
    <t>00012020443</t>
  </si>
  <si>
    <t>ASABA INTERNATIONAL AIRPORT - 0119</t>
  </si>
  <si>
    <t>Aircraft Landing/ Packing fees</t>
  </si>
  <si>
    <t>F119010500</t>
  </si>
  <si>
    <t>00012020448</t>
  </si>
  <si>
    <t>Passenger Service Charge</t>
  </si>
  <si>
    <t>Statutory Deduction Fees from External Auditors</t>
  </si>
  <si>
    <t>DIRECTORATE OF  TRANSPORT</t>
  </si>
  <si>
    <t>Coding (Transport)</t>
  </si>
  <si>
    <t>Commercial Emblem</t>
  </si>
  <si>
    <t>Revenue from Riverine Related Activities</t>
  </si>
  <si>
    <t>TOTAL, FEES</t>
  </si>
  <si>
    <t>FINES - 12020500</t>
  </si>
  <si>
    <t>Traffic Offence Fees</t>
  </si>
  <si>
    <t>00012020503</t>
  </si>
  <si>
    <t>Forestry Fines</t>
  </si>
  <si>
    <t>00012020507</t>
  </si>
  <si>
    <t>Court Fines</t>
  </si>
  <si>
    <t>00012020506</t>
  </si>
  <si>
    <t>BOARD OF INTERNAL REVENUE - 0210</t>
  </si>
  <si>
    <t>Pnalty for Late or Non-submission of Annual Returns</t>
  </si>
  <si>
    <t>00012020505</t>
  </si>
  <si>
    <t>Customary Court Fines</t>
  </si>
  <si>
    <t>High Court Fines</t>
  </si>
  <si>
    <t>TOTAL, FINES</t>
  </si>
  <si>
    <t>SALES - 12020600</t>
  </si>
  <si>
    <t>DIR. OF ESTABS. &amp; PENSION - 0108</t>
  </si>
  <si>
    <t>Sales of PublicService Rules/Regulation</t>
  </si>
  <si>
    <t>00012020605</t>
  </si>
  <si>
    <t>MINISTRY OF AGRICULTURE - 0203</t>
  </si>
  <si>
    <t>Sales of Oil Palm Seedlings</t>
  </si>
  <si>
    <t>00012020612</t>
  </si>
  <si>
    <t>Oil Palm Company</t>
  </si>
  <si>
    <t>Sales General</t>
  </si>
  <si>
    <t>00012020611</t>
  </si>
  <si>
    <t>Sales of Farm Produce</t>
  </si>
  <si>
    <t>Sales of vehicle registeration books</t>
  </si>
  <si>
    <t>Sales of posters,postcards,stickers)</t>
  </si>
  <si>
    <t>D /S Drug Revolving Fund</t>
  </si>
  <si>
    <t>00012020608</t>
  </si>
  <si>
    <t>MINISTRY OF INFORMATION - 0109</t>
  </si>
  <si>
    <t>Sale of photographs</t>
  </si>
  <si>
    <t>F109010000</t>
  </si>
  <si>
    <t>00170000050101</t>
  </si>
  <si>
    <t>MIN OF COMMERCE AND INDUSTRY - 0204</t>
  </si>
  <si>
    <t>Steel/metal Scraps Collection and Utilisation in DTSG</t>
  </si>
  <si>
    <t>00012020607</t>
  </si>
  <si>
    <t>Sales of boarded Vehicles, Plant &amp; Stores</t>
  </si>
  <si>
    <t>00012020615</t>
  </si>
  <si>
    <t>Sales of Proceedings</t>
  </si>
  <si>
    <t>00012020616</t>
  </si>
  <si>
    <t>DELTA  STATE  INDEPENDENT  ELECTORAL  COMMISSION  (DSIEC)  - 0112</t>
  </si>
  <si>
    <t>Sale of Forms</t>
  </si>
  <si>
    <t>TOTAL, SALES</t>
  </si>
  <si>
    <t>EARNINGS - 12020700</t>
  </si>
  <si>
    <t>MIN OF ENVIRONMENT - 0504</t>
  </si>
  <si>
    <t>Forest Products/Exploited Trees</t>
  </si>
  <si>
    <t>00012020715</t>
  </si>
  <si>
    <t>Earnings on the Hire of Tractors</t>
  </si>
  <si>
    <t>00012020701</t>
  </si>
  <si>
    <t>,</t>
  </si>
  <si>
    <t>Rice Value Chain Prog. 2016/2017</t>
  </si>
  <si>
    <t>Pig Multiplication &amp; Farmers Support Prog.</t>
  </si>
  <si>
    <t>Broiler Programme</t>
  </si>
  <si>
    <t>Warri Landing Jetty fee</t>
  </si>
  <si>
    <t>00012020702</t>
  </si>
  <si>
    <t>MIN OF FINANCE - 0209</t>
  </si>
  <si>
    <t>Sales of Financial Instruction</t>
  </si>
  <si>
    <t>Sales of Shops at Ugbolokposo Modern Market</t>
  </si>
  <si>
    <t>Sales of Ogbogonogo Modern Market</t>
  </si>
  <si>
    <t>Sales of Public Service Rules/ Regulations</t>
  </si>
  <si>
    <t>Sale of motor veh.plate nos.</t>
  </si>
  <si>
    <t>00012020718</t>
  </si>
  <si>
    <t>Demurrage</t>
  </si>
  <si>
    <t>00012020703</t>
  </si>
  <si>
    <t>Delta Tours</t>
  </si>
  <si>
    <t>00012020716</t>
  </si>
  <si>
    <t>Dance Troupe</t>
  </si>
  <si>
    <t>Lander Brothers Anchorage</t>
  </si>
  <si>
    <t>Secreatariat Conference Hall Fees</t>
  </si>
  <si>
    <t>F209010000</t>
  </si>
  <si>
    <t>00012020712</t>
  </si>
  <si>
    <t>70112</t>
  </si>
  <si>
    <t>Government Printing Press</t>
  </si>
  <si>
    <t>BOARD OF INTERNAL REVENUE - 0210000000</t>
  </si>
  <si>
    <t>Sales of Motor Vehicle Number Plates</t>
  </si>
  <si>
    <t>DELTA STATE URBAN WATER BOARD - 0206</t>
  </si>
  <si>
    <t>Hiring of Equipment</t>
  </si>
  <si>
    <t>Toll Gate,Cabs/Vehicles registration</t>
  </si>
  <si>
    <t>00012020713</t>
  </si>
  <si>
    <t>Award/Winning from National Sports Festival</t>
  </si>
  <si>
    <t>MINISTRY OF HIGHER   EDUCATION - 0507</t>
  </si>
  <si>
    <t>State Library Board, Asaba</t>
  </si>
  <si>
    <t>Hiring fees STC Auditorium</t>
  </si>
  <si>
    <t xml:space="preserve">TOTAL, EARNINGS </t>
  </si>
  <si>
    <t>RENT ON GOVERNMENT BUILDINGS - GENERAL 12020800</t>
  </si>
  <si>
    <t>Rent for Shops &amp; Offices</t>
  </si>
  <si>
    <t>00012020802</t>
  </si>
  <si>
    <t>MINISTRY OF CULTURE AND TOURISM</t>
  </si>
  <si>
    <t>Delta  Hotels, Sapele &amp; Warri</t>
  </si>
  <si>
    <t>Hospital Management Board</t>
  </si>
  <si>
    <t>FSP Multi-purp.Ctr, Asaba</t>
  </si>
  <si>
    <t>00012020801</t>
  </si>
  <si>
    <t>Children Recr. Ctr Asaba</t>
  </si>
  <si>
    <t>Cenotaph Asaba</t>
  </si>
  <si>
    <t>Sub-Toal</t>
  </si>
  <si>
    <t>SPORTS  COMMISSION - 0505000000</t>
  </si>
  <si>
    <t>Stadium Gate/Hiring of Stadium Facilities</t>
  </si>
  <si>
    <t>MINISTRY OF FINANCE - 0209</t>
  </si>
  <si>
    <t>Secrt. Conference Hall Fees.</t>
  </si>
  <si>
    <t>Pavilion</t>
  </si>
  <si>
    <t>Hiring of Domes, Asaba &amp; Warri</t>
  </si>
  <si>
    <t>Rent for Effurun Garden Park</t>
  </si>
  <si>
    <t>00012020808</t>
  </si>
  <si>
    <t>TOTAL, RENT ON GOVERNMENT BUILDINGS</t>
  </si>
  <si>
    <t>RENT ON LAND &amp; OTHERS - GENERAL 12020900</t>
  </si>
  <si>
    <t>Lease on plant.(Mill Rents)</t>
  </si>
  <si>
    <t>00012020907</t>
  </si>
  <si>
    <t>Lease of Plantation (Land rent/Tractor SERVICES), Egbudu-Akah</t>
  </si>
  <si>
    <t>Rent on Government Land</t>
  </si>
  <si>
    <t>00012020901</t>
  </si>
  <si>
    <t>Chair Hiring</t>
  </si>
  <si>
    <t>00012020918</t>
  </si>
  <si>
    <t>Public Address Equipment Fees</t>
  </si>
  <si>
    <t>00012020921</t>
  </si>
  <si>
    <t>MINISTRY OF LANDS, SURVEY &amp; URBAN PLAN - 0201</t>
  </si>
  <si>
    <t>Ground Rents / Quarters</t>
  </si>
  <si>
    <t>00012020906</t>
  </si>
  <si>
    <t>TOTAL, RENT ON LAND &amp; OTHERS</t>
  </si>
  <si>
    <t>REPAYMENTS - 12021000</t>
  </si>
  <si>
    <t xml:space="preserve">Delta State Urban Mass Transport Bus Scheme  Repayment                                       </t>
  </si>
  <si>
    <t>00012021005</t>
  </si>
  <si>
    <t>Delta State Marcopolo Buses Repayment</t>
  </si>
  <si>
    <t xml:space="preserve">Delta State Urban Mass Transport Bus   
 Scheme  Repayment                                       </t>
  </si>
  <si>
    <t>00012021001</t>
  </si>
  <si>
    <t>Loan Repayment CAC (N1Bn Loan)</t>
  </si>
  <si>
    <t>MINISTRY OF TRANSPORT - 0215000000</t>
  </si>
  <si>
    <t>Advances Motor Cycles</t>
  </si>
  <si>
    <t>MINISTRY OF FINANCE - 0209000000</t>
  </si>
  <si>
    <t>Investment General</t>
  </si>
  <si>
    <t>HEAD OF SERVICE - 0105</t>
  </si>
  <si>
    <t>F105010000</t>
  </si>
  <si>
    <t>427500</t>
  </si>
  <si>
    <t>TOTAL, REPAYMENTS</t>
  </si>
  <si>
    <t>INVESTMENT INCOME - 12021100</t>
  </si>
  <si>
    <t>Divident Received</t>
  </si>
  <si>
    <t>TOTAL, INVESTMENT INCOME</t>
  </si>
  <si>
    <t>INTEREST EARNED - 12021200</t>
  </si>
  <si>
    <t>00012021210</t>
  </si>
  <si>
    <t>TOTAL, INTEREST EARNED</t>
  </si>
  <si>
    <t xml:space="preserve">REIMBURSEMENT - 12021300 </t>
  </si>
  <si>
    <t>OFFICE OF THE ACCOUNTANT-GENERAL - 0212000000</t>
  </si>
  <si>
    <t/>
  </si>
  <si>
    <t>Other Government</t>
  </si>
  <si>
    <t>Teachers Salaries</t>
  </si>
  <si>
    <t>The Economy</t>
  </si>
  <si>
    <t>Sundries (Deposit Recovery)</t>
  </si>
  <si>
    <t>American Int. Insurance Co.</t>
  </si>
  <si>
    <t>00012021102</t>
  </si>
  <si>
    <t>UtagbaUnor Rubber Estate Ltd.</t>
  </si>
  <si>
    <t>Beta Glass Company</t>
  </si>
  <si>
    <t>Flour Mills</t>
  </si>
  <si>
    <t>R.T Briscoe Nigeria Ltd.</t>
  </si>
  <si>
    <t>Okomu Oil Palm Plc.</t>
  </si>
  <si>
    <t>First Bank Plc.</t>
  </si>
  <si>
    <t>Niger Insurance Plc</t>
  </si>
  <si>
    <t>Mobil (nig.) Plc</t>
  </si>
  <si>
    <t>Nestle (Nig) Plc.</t>
  </si>
  <si>
    <t>Ashaka Cement</t>
  </si>
  <si>
    <t>Lafarge cement</t>
  </si>
  <si>
    <t>Cadbury Nigeria Plc.</t>
  </si>
  <si>
    <t>Lever Brothers (Unilever) Nig Plc</t>
  </si>
  <si>
    <t>United Bank Fof Africa (UBA)</t>
  </si>
  <si>
    <t>Eco Bank Plc</t>
  </si>
  <si>
    <t>Hans Gremlin ( Nig)</t>
  </si>
  <si>
    <t>Midwestern Oil &amp; Gas</t>
  </si>
  <si>
    <t>MINISTRY OF FINANCE - 0209 Cont'd</t>
  </si>
  <si>
    <t>Zenith Bank</t>
  </si>
  <si>
    <t>Access Bank</t>
  </si>
  <si>
    <t>Vigeo Power Ltd ( Benin Elect)</t>
  </si>
  <si>
    <t>Eurafric Power Ltd (Sapele)</t>
  </si>
  <si>
    <t>African Prudential</t>
  </si>
  <si>
    <t>TOTAL, REIMBURSEMENT</t>
  </si>
  <si>
    <t>MISCELLANEOUS INCOME - 12021400</t>
  </si>
  <si>
    <t>College of Education-Warri</t>
  </si>
  <si>
    <t>00012021420</t>
  </si>
  <si>
    <t>College of Education-Agbor</t>
  </si>
  <si>
    <t>College of Phy. Edu.Mosogar</t>
  </si>
  <si>
    <t>Delta Polytechnic- Ozoro</t>
  </si>
  <si>
    <t>Delta Polytechnic- Oghara</t>
  </si>
  <si>
    <t>Delta Polytechnic- Ogwashi-Uku</t>
  </si>
  <si>
    <t>70941</t>
  </si>
  <si>
    <t>Delta State University, Abraka</t>
  </si>
  <si>
    <t>70950</t>
  </si>
  <si>
    <t>Delta State Institute for Cont. Education, Asaba</t>
  </si>
  <si>
    <t>F506011600</t>
  </si>
  <si>
    <t xml:space="preserve">Sundries (Deposit Recovered) </t>
  </si>
  <si>
    <t>00012021404</t>
  </si>
  <si>
    <t>Recovery of Public Funds</t>
  </si>
  <si>
    <t>00012021409</t>
  </si>
  <si>
    <t>Lease of  Plant (Land Rent)</t>
  </si>
  <si>
    <t>Communal Farm  Farm Lease</t>
  </si>
  <si>
    <t>TOTAL, MISCELLANEOUS INCOME</t>
  </si>
  <si>
    <t>TOTAL, INTERNALLY GENERATED REVENUE</t>
  </si>
  <si>
    <t>TOTAL RECURRENT REVENUE</t>
  </si>
  <si>
    <t>SUBEB</t>
  </si>
  <si>
    <t>Oversea Development Assistance</t>
  </si>
  <si>
    <t>SEEFOR</t>
  </si>
  <si>
    <t>Development Bond</t>
  </si>
  <si>
    <t>Commercial loan Banks</t>
  </si>
  <si>
    <t>Bail Out</t>
  </si>
  <si>
    <t>World Bank SEEFOR</t>
  </si>
  <si>
    <t>SFTAS World Bank</t>
  </si>
  <si>
    <t>World Bank NEWMAP</t>
  </si>
  <si>
    <t>MDA CODE</t>
  </si>
  <si>
    <t xml:space="preserve">MDA </t>
  </si>
  <si>
    <t>APPROVED PROVISION 2019</t>
  </si>
  <si>
    <t>REGULAR OVERHEAD PROVISION 2020</t>
  </si>
  <si>
    <t>NON-REGULAR OVERHEAD PROVISION 2020</t>
  </si>
  <si>
    <t>ADMINISTRATION SECTOR</t>
  </si>
  <si>
    <t>Government House &amp; Protocol (GHP)</t>
  </si>
  <si>
    <t>DG,Delta State Investments Development Agency</t>
  </si>
  <si>
    <t>0101010520</t>
  </si>
  <si>
    <r>
      <t>Directorate of of Sustainable Development Goals-</t>
    </r>
    <r>
      <rPr>
        <b/>
        <sz val="14"/>
        <rFont val="Arial"/>
        <family val="2"/>
      </rPr>
      <t>SDG</t>
    </r>
  </si>
  <si>
    <t>0101010523</t>
  </si>
  <si>
    <t>HCSD, Government House</t>
  </si>
  <si>
    <t>HCGDC, Government House</t>
  </si>
  <si>
    <t>0101010502</t>
  </si>
  <si>
    <t>Office of the Senior Political Adviser</t>
  </si>
  <si>
    <t>0101010501</t>
  </si>
  <si>
    <t xml:space="preserve">Office of the Chief Economic Adviser </t>
  </si>
  <si>
    <t xml:space="preserve">Office of the Chief of Staff </t>
  </si>
  <si>
    <t xml:space="preserve">Exec. Assit. Monitoring &amp; Mentoring </t>
  </si>
  <si>
    <t>Office of Exec. Assist DESOPADEC</t>
  </si>
  <si>
    <t>Delta State Public Procurement Commission</t>
  </si>
  <si>
    <t>0101010524</t>
  </si>
  <si>
    <t>Security Trust Fund</t>
  </si>
  <si>
    <t>0101010514</t>
  </si>
  <si>
    <t>Office of the Exec. Assit. Comm. Relation &amp; Peace Building</t>
  </si>
  <si>
    <t>0101010522</t>
  </si>
  <si>
    <t>Delta State Signage and Advertising Agency (DESAA)</t>
  </si>
  <si>
    <t>Delta State Capital Territtory Dev. Agency</t>
  </si>
  <si>
    <t>0101010521</t>
  </si>
  <si>
    <t xml:space="preserve">Office of the Chief Job Creation </t>
  </si>
  <si>
    <t>0101010504</t>
  </si>
  <si>
    <t xml:space="preserve"> Education Monitoring</t>
  </si>
  <si>
    <t>0101010507</t>
  </si>
  <si>
    <t>Investment</t>
  </si>
  <si>
    <t>Religious Affairs</t>
  </si>
  <si>
    <t>Asaba International Airport</t>
  </si>
  <si>
    <t>Local Government Project Monitoring</t>
  </si>
  <si>
    <t>0101010513</t>
  </si>
  <si>
    <t xml:space="preserve"> Legal Matters </t>
  </si>
  <si>
    <t>SACA</t>
  </si>
  <si>
    <t>0101010503</t>
  </si>
  <si>
    <t xml:space="preserve"> Legislative Matters</t>
  </si>
  <si>
    <t>Office of the Director-General, Special Services</t>
  </si>
  <si>
    <t>0101010519</t>
  </si>
  <si>
    <t>Office of the Exec. Assit. Directorate of Orientation</t>
  </si>
  <si>
    <t>Office of the Executive Assistant AT &amp; P</t>
  </si>
  <si>
    <t>SUB-TOTAL</t>
  </si>
  <si>
    <t>Office of the Deputy Governor</t>
  </si>
  <si>
    <t>0102010800</t>
  </si>
  <si>
    <t>Directorate of Project Monitor/Senior Policy Adviser</t>
  </si>
  <si>
    <t>0102010902</t>
  </si>
  <si>
    <t>Off. Of the  Special Adviser, NDDC BRACED Commission</t>
  </si>
  <si>
    <t>0102011000</t>
  </si>
  <si>
    <t>Delta State SERVICOM Office</t>
  </si>
  <si>
    <t>0102011100</t>
  </si>
  <si>
    <t>Dir of Multilateral &amp; Liaison Office, Abuja</t>
  </si>
  <si>
    <t>0103000000</t>
  </si>
  <si>
    <t>Delta State House of Assembly</t>
  </si>
  <si>
    <t>Office of the SSG</t>
  </si>
  <si>
    <t>0104010302</t>
  </si>
  <si>
    <t>Liaison Office, Abuja</t>
  </si>
  <si>
    <t>0104010303</t>
  </si>
  <si>
    <t>Liaison Office, Lagos</t>
  </si>
  <si>
    <t>0104010305</t>
  </si>
  <si>
    <t>Upkeep of Gov's Lodge, Abuja.</t>
  </si>
  <si>
    <t>Upkeep of Governor's Lodge, Lagos</t>
  </si>
  <si>
    <t>Governor's Office Annexe, Warri</t>
  </si>
  <si>
    <t>Upkeep of Deputy Gov's Lodge, Abuja.</t>
  </si>
  <si>
    <t>Community Dev.Committees' Office</t>
  </si>
  <si>
    <t>NNVS Unit</t>
  </si>
  <si>
    <t>Delta State Advisory Council</t>
  </si>
  <si>
    <t>0104010400</t>
  </si>
  <si>
    <t>Special Project (Political Appointees)</t>
  </si>
  <si>
    <t>0104011000</t>
  </si>
  <si>
    <t xml:space="preserve"> Direct Labour Agency</t>
  </si>
  <si>
    <t>Office of the Head of Service</t>
  </si>
  <si>
    <t>Directorate of Cabinet and Administration</t>
  </si>
  <si>
    <t>Directorate of Political and Security Services</t>
  </si>
  <si>
    <t>Directorate of Establishment &amp; Pension</t>
  </si>
  <si>
    <t xml:space="preserve"> Ministry of Information</t>
  </si>
  <si>
    <t>0109010501</t>
  </si>
  <si>
    <t xml:space="preserve">Delta Broadcasting Service, Asaba </t>
  </si>
  <si>
    <t>0109010502</t>
  </si>
  <si>
    <t xml:space="preserve">Delta Radio/Television Station, Warri </t>
  </si>
  <si>
    <t>0109010503</t>
  </si>
  <si>
    <t>Delta Publishing Printing Company, Ltd.</t>
  </si>
  <si>
    <t>Bureau for Special Duties</t>
  </si>
  <si>
    <t>0110010300</t>
  </si>
  <si>
    <t>State Emergency Management Agency</t>
  </si>
  <si>
    <t>0110010400</t>
  </si>
  <si>
    <t>Delta State Fire Service Command</t>
  </si>
  <si>
    <t>0110010500</t>
  </si>
  <si>
    <t>Christian Pilgrims Welfare Board</t>
  </si>
  <si>
    <t>0110010600</t>
  </si>
  <si>
    <t>Muslim Pilgrims Welfare Board</t>
  </si>
  <si>
    <t>Bureau of Local Government Pensions</t>
  </si>
  <si>
    <t>Delta State Independent Electoral Commission</t>
  </si>
  <si>
    <t>0113000000</t>
  </si>
  <si>
    <t>Office of the Auditor General (State)</t>
  </si>
  <si>
    <t>0114000000</t>
  </si>
  <si>
    <t>Office of the Auditor General (Local Government)</t>
  </si>
  <si>
    <t>Delta State Pension Bureau</t>
  </si>
  <si>
    <t>Civil Service Commission</t>
  </si>
  <si>
    <t>Delta State House of Assembly Service Commission</t>
  </si>
  <si>
    <t>Local Government Service Commission</t>
  </si>
  <si>
    <t>TOTAL PERSONNEL AND OVERHEAD COSTS (ADMINISTRATION SECTOR)</t>
  </si>
  <si>
    <t>ECONOMIC SECTOR</t>
  </si>
  <si>
    <t>Ministry of Lands, Survey &amp; Urban Development</t>
  </si>
  <si>
    <t>0201010602</t>
  </si>
  <si>
    <t>Delta State Boundary Commission</t>
  </si>
  <si>
    <t>0201010700</t>
  </si>
  <si>
    <t>Urban and Regional Planning Board</t>
  </si>
  <si>
    <t xml:space="preserve">Directorate of Culture &amp; Tourism </t>
  </si>
  <si>
    <t>0202010400</t>
  </si>
  <si>
    <t>Delta State Tourism Board</t>
  </si>
  <si>
    <t>0202010501</t>
  </si>
  <si>
    <t>Delta State Council of Arts and Culture</t>
  </si>
  <si>
    <t>Ministry of Agricultre &amp; Natural Resources</t>
  </si>
  <si>
    <t>0203010500</t>
  </si>
  <si>
    <t>Delta State Agricultural Development Programme</t>
  </si>
  <si>
    <t>0203010600</t>
  </si>
  <si>
    <t>Delta State Agric Procurement Agency</t>
  </si>
  <si>
    <t>0203010700</t>
  </si>
  <si>
    <t>Task Force on Communal Farm</t>
  </si>
  <si>
    <t>0203010800</t>
  </si>
  <si>
    <t>Tractor Hire Agency</t>
  </si>
  <si>
    <t>Tree Corps Unit</t>
  </si>
  <si>
    <t xml:space="preserve"> Ministry of Trade and Investment</t>
  </si>
  <si>
    <t>0204010400</t>
  </si>
  <si>
    <t>Delta State Micro, Small and Medium Enterprises Agency</t>
  </si>
  <si>
    <t>Ministry of Energy</t>
  </si>
  <si>
    <t>0205010400</t>
  </si>
  <si>
    <t>Rural Development Agency</t>
  </si>
  <si>
    <t>Minstry of Water Resources</t>
  </si>
  <si>
    <t>0206010401</t>
  </si>
  <si>
    <t>Urban Water Board</t>
  </si>
  <si>
    <t>0206010402</t>
  </si>
  <si>
    <t>Delta State Rural Water Supply &amp; Sanitation Agency</t>
  </si>
  <si>
    <t>Dir. Of Science &amp; Technology</t>
  </si>
  <si>
    <t>Ministry of Oil and Gas</t>
  </si>
  <si>
    <t xml:space="preserve">Ministry of Finance </t>
  </si>
  <si>
    <t>0209010400</t>
  </si>
  <si>
    <t>Debt Management Office</t>
  </si>
  <si>
    <t xml:space="preserve"> Board of internal Revenue </t>
  </si>
  <si>
    <t>Ministry of Economic Planning</t>
  </si>
  <si>
    <t>Office of the Accountant General</t>
  </si>
  <si>
    <t>Ministry of Works</t>
  </si>
  <si>
    <t xml:space="preserve">Ministry of Housing </t>
  </si>
  <si>
    <t>Dir. Of Transport</t>
  </si>
  <si>
    <t>0215010401</t>
  </si>
  <si>
    <t>Delta State School of Marine Tech. Burutu</t>
  </si>
  <si>
    <t>0215010800</t>
  </si>
  <si>
    <t>Director, Delta State Traffic Management Authority</t>
  </si>
  <si>
    <t>Office of the Surveyor General</t>
  </si>
  <si>
    <t>Ministry of Urban Renewal</t>
  </si>
  <si>
    <t>TOTAL PERSONNEL AND OVERHEAD COSTS (ECONOMIC SECTOR)</t>
  </si>
  <si>
    <t>LAW AND JUSTICE SECTOR</t>
  </si>
  <si>
    <t>Ministry of Justice</t>
  </si>
  <si>
    <t>High Court of Justice</t>
  </si>
  <si>
    <t>Multi-Door/centres</t>
  </si>
  <si>
    <t>Customary Court of Appeal</t>
  </si>
  <si>
    <t>Judiciary Service Commission</t>
  </si>
  <si>
    <t>TOTAL PERSONNEL AND OVERHEAD COSTS (LAW AND JUSTICE SECTOR)</t>
  </si>
  <si>
    <t>REGIONAL SECTOR</t>
  </si>
  <si>
    <t>Delta State Oil Producing Communities Development Commission</t>
  </si>
  <si>
    <t>Delta State Capital Territory Development Agency</t>
  </si>
  <si>
    <t>Warri-Uvwie and Environs Special Area Development Agency</t>
  </si>
  <si>
    <t>TOTAL PERSONNEL AND OVERHEAD COSTS (REGIONAL SECTOR)</t>
  </si>
  <si>
    <t>SOCIAL SECTOR</t>
  </si>
  <si>
    <t>Ministry of Youth Development</t>
  </si>
  <si>
    <t>Directorate of Chieftaincy Affairs</t>
  </si>
  <si>
    <t>Directorate of Local Government Affairs</t>
  </si>
  <si>
    <t>Ministry of Environment</t>
  </si>
  <si>
    <t>0504010600</t>
  </si>
  <si>
    <t>Sanitation and Waste Management Board</t>
  </si>
  <si>
    <t>0504010900</t>
  </si>
  <si>
    <t>Delta State Environmental Protection Agency (DELSEPA)</t>
  </si>
  <si>
    <t>Delta State Sports Commission</t>
  </si>
  <si>
    <t xml:space="preserve"> Ministry of Basic and Secondary Education</t>
  </si>
  <si>
    <t>Science, Vocational and Technical Education</t>
  </si>
  <si>
    <t>0506011000</t>
  </si>
  <si>
    <t>Agency for Adult &amp; Non-Formal Education</t>
  </si>
  <si>
    <t>0506011200</t>
  </si>
  <si>
    <t>0506011300</t>
  </si>
  <si>
    <t>PPEB</t>
  </si>
  <si>
    <t>0506011301</t>
  </si>
  <si>
    <t>PPEB Zonal Offices</t>
  </si>
  <si>
    <t>0506011500</t>
  </si>
  <si>
    <t>French Language School</t>
  </si>
  <si>
    <t>0506011600</t>
  </si>
  <si>
    <t>Institute of Continuing Education, Asaba</t>
  </si>
  <si>
    <t>Ministry of Higher Education</t>
  </si>
  <si>
    <t>0507010701</t>
  </si>
  <si>
    <t>Delta State University</t>
  </si>
  <si>
    <t>05070107BA</t>
  </si>
  <si>
    <t>Delta State Polytechnic, Ozoro</t>
  </si>
  <si>
    <t>05070107BB</t>
  </si>
  <si>
    <t>Delta State Polytechnic, Ogwashi-Uku</t>
  </si>
  <si>
    <t>05070107BC</t>
  </si>
  <si>
    <t>Delta State Polytechnic, Oghara</t>
  </si>
  <si>
    <t>05070107CA</t>
  </si>
  <si>
    <t>College of Education, Warri</t>
  </si>
  <si>
    <t>05070107CB</t>
  </si>
  <si>
    <t>College of Education, Agbor</t>
  </si>
  <si>
    <t>05070107CC</t>
  </si>
  <si>
    <t>College of Education, Mosogar</t>
  </si>
  <si>
    <t>0507010900</t>
  </si>
  <si>
    <t>Bursary and Scholarship Board</t>
  </si>
  <si>
    <t>0507011000</t>
  </si>
  <si>
    <t>State Library Board</t>
  </si>
  <si>
    <t>Ministry of Health (Hqtrs)</t>
  </si>
  <si>
    <t>0508010402</t>
  </si>
  <si>
    <t>0508010501</t>
  </si>
  <si>
    <t>Traditional Medicine Board</t>
  </si>
  <si>
    <t>05080106AA</t>
  </si>
  <si>
    <t>School of Nursing, Warri</t>
  </si>
  <si>
    <t>05080106AB</t>
  </si>
  <si>
    <t>School of Nursing, Agbor</t>
  </si>
  <si>
    <t>05080106AC</t>
  </si>
  <si>
    <t>School of Nursing, Eku</t>
  </si>
  <si>
    <t>05080106BA</t>
  </si>
  <si>
    <t>State School of Midwifery, Asaba</t>
  </si>
  <si>
    <t>05080106BB</t>
  </si>
  <si>
    <t>State School of Midwifery, Sapele</t>
  </si>
  <si>
    <t>0508010700</t>
  </si>
  <si>
    <t>Delta State Primary Health Care Development Agency</t>
  </si>
  <si>
    <t>0508010801</t>
  </si>
  <si>
    <t>State School of Health Technology, Ughelli</t>
  </si>
  <si>
    <t>0508010900</t>
  </si>
  <si>
    <t>State Action Committee on AIDS (SACA)</t>
  </si>
  <si>
    <t>Delta State University Teaching Hospital</t>
  </si>
  <si>
    <t>Min. of Women Affairs and Social Development</t>
  </si>
  <si>
    <t>Ministry of Technical Education</t>
  </si>
  <si>
    <t>TOTAL PERSONNEL AND OVERHEAD COSTS (SOCIAL SECTOR)</t>
  </si>
  <si>
    <t xml:space="preserve">TOTAL PERSONNEL AND OVERHEAD COSTS </t>
  </si>
  <si>
    <t>CONSOLIDATED REVENUE FUND CHARGES</t>
  </si>
  <si>
    <t>External Loan Repayment (Principal )</t>
  </si>
  <si>
    <t>TOTAL CONSOLIDATED REVENUE FUND CHARGES</t>
  </si>
  <si>
    <t>Economic Code</t>
  </si>
  <si>
    <t>MDA/Budget Line Item</t>
  </si>
  <si>
    <t xml:space="preserve">Fund </t>
  </si>
  <si>
    <t>Fund Center</t>
  </si>
  <si>
    <t>Approved Provision 2019</t>
  </si>
  <si>
    <t>Administrative Sector</t>
  </si>
  <si>
    <t>0101000000: Government House &amp; Protocol (GHP)</t>
  </si>
  <si>
    <t>Salary</t>
  </si>
  <si>
    <t>F101010000</t>
  </si>
  <si>
    <t>00220000020101</t>
  </si>
  <si>
    <t>0103000000: Delta State House of Assembly</t>
  </si>
  <si>
    <t>C103000000</t>
  </si>
  <si>
    <t>0104000000: Office of the SSG</t>
  </si>
  <si>
    <t>0104011000: Direct Labour Agency</t>
  </si>
  <si>
    <t>0105000000: Office of the Head of Service</t>
  </si>
  <si>
    <t>0106000000: Directorate of Cabinet and Administration</t>
  </si>
  <si>
    <t>F106010000</t>
  </si>
  <si>
    <t>0107000000: Directorate of Political and Security Services</t>
  </si>
  <si>
    <t>F107010000</t>
  </si>
  <si>
    <t>70160</t>
  </si>
  <si>
    <t>0108000000: Directorate of Establishment &amp; Pension</t>
  </si>
  <si>
    <t>0109000000:  Ministry of Information</t>
  </si>
  <si>
    <t xml:space="preserve">0109010501: Delta Broadcasting Service, Asaba </t>
  </si>
  <si>
    <t>0109010503: Delta Publishing Printing Company, Ltd.</t>
  </si>
  <si>
    <t>0110000000: Bureau for Special Duties</t>
  </si>
  <si>
    <t>F110010000</t>
  </si>
  <si>
    <t>0112000000: Delta State Independent Electoral Commission</t>
  </si>
  <si>
    <t>F112010000</t>
  </si>
  <si>
    <t>0113000000: Office of the Auditor General (State)</t>
  </si>
  <si>
    <t>0114000000: Office of the Auditor General (Local Government)</t>
  </si>
  <si>
    <t>F114010000</t>
  </si>
  <si>
    <t>0105000000: Delta State Pension Bureau</t>
  </si>
  <si>
    <t>F115010000</t>
  </si>
  <si>
    <t>0116000000: Civil Service Commission</t>
  </si>
  <si>
    <t>F116010000</t>
  </si>
  <si>
    <t>0117000000: Delta State House of Assembly Service Commission</t>
  </si>
  <si>
    <t>F117010000</t>
  </si>
  <si>
    <t>0118000000: Local Government Service Commission</t>
  </si>
  <si>
    <t>F118000000</t>
  </si>
  <si>
    <t>TOTAL PERSONNEL COST, ADMINISTRTATION SECTOR</t>
  </si>
  <si>
    <t>0201000000: Ministry of Lands, Survey &amp; Urban Development</t>
  </si>
  <si>
    <t>0202000000: Directorate of Culture &amp; Tourism</t>
  </si>
  <si>
    <t>0202010400: Delta State Tourism Board</t>
  </si>
  <si>
    <t>0202010501: Delta State Council of Arts and Culture</t>
  </si>
  <si>
    <t>0203000000: Ministry of Agricultre &amp; Natural Resources</t>
  </si>
  <si>
    <t>0203010500: Delta State Agricultural Development Programme</t>
  </si>
  <si>
    <t>0203010600: Delta State Agric Procurement Agency</t>
  </si>
  <si>
    <t>0204000000:Ministry of Trade and Investment</t>
  </si>
  <si>
    <t>0205000000:Ministry of Energy</t>
  </si>
  <si>
    <t>0205010400: Rural Development Agency</t>
  </si>
  <si>
    <t>0206000000: Minstry of Water Resources</t>
  </si>
  <si>
    <t>0206010401: Urban Water Board</t>
  </si>
  <si>
    <t>0206010402: Delta State Rural Water Supply &amp; Sanitation Agency</t>
  </si>
  <si>
    <t>0207000000: Dir. Of Science &amp; Technology</t>
  </si>
  <si>
    <t>F207010000</t>
  </si>
  <si>
    <t>70487</t>
  </si>
  <si>
    <t>0208000000: Ministry of Oil and Gas</t>
  </si>
  <si>
    <t>F208010000</t>
  </si>
  <si>
    <t>0209000000: Ministry of Finance</t>
  </si>
  <si>
    <t xml:space="preserve">0210000000: Board of Internal Revenue </t>
  </si>
  <si>
    <t>0211000000:  Ministry of Economic Planning</t>
  </si>
  <si>
    <t>F211010000</t>
  </si>
  <si>
    <t>0212000000: Office of the Accountant General</t>
  </si>
  <si>
    <t>F212010000</t>
  </si>
  <si>
    <t>0213000000: Ministry of Works</t>
  </si>
  <si>
    <t>0214000000:Ministry of Housing</t>
  </si>
  <si>
    <t>F214010000</t>
  </si>
  <si>
    <t>0215000000: Dir of Transport</t>
  </si>
  <si>
    <t>0215010401: Delta State School of Marine Tech. Burutu</t>
  </si>
  <si>
    <t>0215010800: Delta State Traffic Management Authority</t>
  </si>
  <si>
    <t>0216000000: Office of the Surveyor General</t>
  </si>
  <si>
    <t>TOTAL PERSONNEL COST, ECONOMIC SECTOR</t>
  </si>
  <si>
    <t>Law and Justice</t>
  </si>
  <si>
    <t>0301000000:  Ministry of Justice</t>
  </si>
  <si>
    <t>0302000000: High Court of Justice</t>
  </si>
  <si>
    <t>0302: Multi-Door/centres</t>
  </si>
  <si>
    <t>0303000000: Customary Court of Appeal</t>
  </si>
  <si>
    <t xml:space="preserve">0304000000:  Judiciary Service Commission </t>
  </si>
  <si>
    <t>TOTAL PERSONNEL COST, LAW AND JUSTICE SECTOR</t>
  </si>
  <si>
    <t>Social Sector</t>
  </si>
  <si>
    <t>0501000000: Min. of Youth Development</t>
  </si>
  <si>
    <t>0502000000: Directorate of Chieftaincy Affairs</t>
  </si>
  <si>
    <t>0503000000: Directorate of Local Government Affairs</t>
  </si>
  <si>
    <t>0504000000: Ministry of Environment</t>
  </si>
  <si>
    <t>0504010600: Sanitation and Waste Management Board</t>
  </si>
  <si>
    <t>0504010900: Delta State Environmental Protection Agency (DELSEPA)</t>
  </si>
  <si>
    <t>0505000000: Delta State Sports Commission</t>
  </si>
  <si>
    <t>0506000000: Ministry of Basic and Secondary Education</t>
  </si>
  <si>
    <t>0506011200: SUBEB</t>
  </si>
  <si>
    <t>0506011300: PPEB</t>
  </si>
  <si>
    <t>0506011600: Institute of Continuing Education, Asaba</t>
  </si>
  <si>
    <t>0507000000:  Ministry of Higher Education</t>
  </si>
  <si>
    <t>0507010701: Delta State University</t>
  </si>
  <si>
    <t>05070107BA: Delta State Polytechnic, Ozoro</t>
  </si>
  <si>
    <t>05070107BB: Delta State Polytechnic, Ogwashi-Uku</t>
  </si>
  <si>
    <t>05070107BC: Delta State Polytechnic, Oghara</t>
  </si>
  <si>
    <t>05070107CA: College of Education, Warri</t>
  </si>
  <si>
    <t>05070107CB: College of Education, Agbor</t>
  </si>
  <si>
    <t>05070107CC: College of Education, Mosogar</t>
  </si>
  <si>
    <t>0507010900: Bursary and Scholarship Board</t>
  </si>
  <si>
    <t>0507011000: State Library Board</t>
  </si>
  <si>
    <t>0508000000:  Ministry of Health (Hqtrs)</t>
  </si>
  <si>
    <t>0508010402: Hospital Management Board</t>
  </si>
  <si>
    <t>0508010700: Delta State Primary Health Care Development Agency</t>
  </si>
  <si>
    <t>0509000000: Min. of Women Affairs and Social Development</t>
  </si>
  <si>
    <t>TOTAL PERSONNEL COST, SOCIAL SECTOR</t>
  </si>
  <si>
    <t>TOTAL PERSONNEL COST</t>
  </si>
  <si>
    <t>CONSOLIDATED REVENUE FUND CHARGES (CRFC)</t>
  </si>
  <si>
    <t xml:space="preserve"> 0212000000: Office of the Accountant General</t>
  </si>
  <si>
    <t>Statutory Emolument:</t>
  </si>
  <si>
    <t>High Court  Judges</t>
  </si>
  <si>
    <t>Members of the Civil Service Commission</t>
  </si>
  <si>
    <t>Auditor - General (State )</t>
  </si>
  <si>
    <t>Customary Court Judges</t>
  </si>
  <si>
    <t>Auditor - General (Local Govt )</t>
  </si>
  <si>
    <t>Members of the House of Assembly Service Commission</t>
  </si>
  <si>
    <t>Members of the Judicial Service Commission</t>
  </si>
  <si>
    <t>Sub-Total (Statutory Emolument)</t>
  </si>
  <si>
    <t>Social Contribution:</t>
  </si>
  <si>
    <t>21020201</t>
  </si>
  <si>
    <t>Pension (10% Govt Contribution)</t>
  </si>
  <si>
    <t>DTS Health Contributory Insurance Scheme</t>
  </si>
  <si>
    <t>Sub-Total (Social Contribution)</t>
  </si>
  <si>
    <t>Social Benefit :</t>
  </si>
  <si>
    <t>Gratuities</t>
  </si>
  <si>
    <t>Pensions</t>
  </si>
  <si>
    <t xml:space="preserve">Sub-Total (Social Benefit) </t>
  </si>
  <si>
    <t>CRFC Cont'd</t>
  </si>
  <si>
    <t>Grants and Contribution:</t>
  </si>
  <si>
    <t>10% Allocation to L.G. Councils</t>
  </si>
  <si>
    <t>2.5 %Contribution to LG Pension Fund</t>
  </si>
  <si>
    <t>State Assistance to Local Government for Primary Education</t>
  </si>
  <si>
    <t>TOTAL CONSOLIDATED REVENUE FUND CHARGES (CRFC)</t>
  </si>
  <si>
    <t>Budget Code</t>
  </si>
  <si>
    <t xml:space="preserve">Budget Line Item </t>
  </si>
  <si>
    <t>0101000000: Government House &amp; Protocol (GHP) Non-Regular Overhead:</t>
  </si>
  <si>
    <t>Security</t>
  </si>
  <si>
    <t>00220000010108</t>
  </si>
  <si>
    <t>Transport and Travelling</t>
  </si>
  <si>
    <t>00220000030101</t>
  </si>
  <si>
    <t>Utility Services( NEPA bills)</t>
  </si>
  <si>
    <t>Government Publicity &amp; Press Relations</t>
  </si>
  <si>
    <t xml:space="preserve">Entertainment &amp; Hospitality </t>
  </si>
  <si>
    <t>Documentaries in Print/Electronic Media</t>
  </si>
  <si>
    <t>Maintenance of Vehicles &amp; Other Capital Assets</t>
  </si>
  <si>
    <t>Maintenance &amp; Running Cost of Fuel Deport</t>
  </si>
  <si>
    <t>Maintenance/Upkeep of  Govt. House</t>
  </si>
  <si>
    <t>00220000010104</t>
  </si>
  <si>
    <t>Govt. House Resource Centre</t>
  </si>
  <si>
    <t>Air warrants (Local)</t>
  </si>
  <si>
    <t>00220000010113</t>
  </si>
  <si>
    <t>Gifts and Donations</t>
  </si>
  <si>
    <t>00020000010102</t>
  </si>
  <si>
    <t>Maint.of Office Furniture &amp; Equipment</t>
  </si>
  <si>
    <t>00220000010106</t>
  </si>
  <si>
    <t>Running of Govt.House Clinic</t>
  </si>
  <si>
    <t>00220000010109</t>
  </si>
  <si>
    <t>Refund of Medical Expenses</t>
  </si>
  <si>
    <t>00040000010107</t>
  </si>
  <si>
    <t>Maintenance of Event Centre, Asaba</t>
  </si>
  <si>
    <t>Consultancy Services/Special Projects</t>
  </si>
  <si>
    <t>Stationery</t>
  </si>
  <si>
    <t>Training &amp; Staff Development</t>
  </si>
  <si>
    <t xml:space="preserve"> Sub-Total (Non-Regular)</t>
  </si>
  <si>
    <t>Regular Overhead</t>
  </si>
  <si>
    <t>Total Overhead Cost, Government House &amp; Protocol (GHP)</t>
  </si>
  <si>
    <t>DG,Delta State Investments Development Agency (Non-Regular Overhead)</t>
  </si>
  <si>
    <r>
      <t>Directorate of Sustainable Development Goals-</t>
    </r>
    <r>
      <rPr>
        <b/>
        <sz val="12"/>
        <rFont val="Arial"/>
        <family val="2"/>
      </rPr>
      <t>SDG</t>
    </r>
    <r>
      <rPr>
        <sz val="12"/>
        <rFont val="Arial"/>
        <family val="2"/>
      </rPr>
      <t xml:space="preserve"> (Non-Regular Overhead)</t>
    </r>
  </si>
  <si>
    <r>
      <t xml:space="preserve">Directorate of Sustainable Development Goals- </t>
    </r>
    <r>
      <rPr>
        <b/>
        <sz val="12"/>
        <rFont val="Arial"/>
        <family val="2"/>
      </rPr>
      <t>SDG</t>
    </r>
    <r>
      <rPr>
        <sz val="12"/>
        <rFont val="Arial"/>
        <family val="2"/>
      </rPr>
      <t xml:space="preserve"> (Regular Overhead)</t>
    </r>
  </si>
  <si>
    <t>SUB-TOTAL (SDG)</t>
  </si>
  <si>
    <t>Government House &amp; Protocol Cont'd</t>
  </si>
  <si>
    <t>SUB-TOTAL (HCSD)</t>
  </si>
  <si>
    <t>HCGDC, Government House (Non-Regular Overhead)</t>
  </si>
  <si>
    <t>Office of the Political Adviser (Non-Regular Overhead)</t>
  </si>
  <si>
    <t>Office of the Chief Economic Adviser (Non-Regular Overhead)</t>
  </si>
  <si>
    <t>Office of the Chief of Staff (Non-Regular Overhead)</t>
  </si>
  <si>
    <t>Maintenance of Office Furniture</t>
  </si>
  <si>
    <t>Maintenance of Office Equipment</t>
  </si>
  <si>
    <t xml:space="preserve">Maintenance of Vehicles </t>
  </si>
  <si>
    <t>Cleaning and fumigation service</t>
  </si>
  <si>
    <t>Publicity and Advertisement</t>
  </si>
  <si>
    <t>Postage and Courier Services</t>
  </si>
  <si>
    <t xml:space="preserve">SUB-TOTAL Office of the Chief of Staff </t>
  </si>
  <si>
    <t>Exec. Assit. Monitoring &amp; Mentoring (Non-Regular Overhead)</t>
  </si>
  <si>
    <t>Office of Exec. Assist DESOPADEC (Non-Regular Overhead)</t>
  </si>
  <si>
    <t>Delta State Procurement Commission (Non-Regular Overhead)</t>
  </si>
  <si>
    <t>Security Trust Fund (Non-Regular Overhead)</t>
  </si>
  <si>
    <t>011100019034</t>
  </si>
  <si>
    <t>Office of the Exec. Assit. Comm. Relation &amp; Peace Building (Non-Regular Overhead)</t>
  </si>
  <si>
    <t>011100019035</t>
  </si>
  <si>
    <t>Delta State Signage and Advertising Agency (DESAA) (Non-Regular Overhead)</t>
  </si>
  <si>
    <t>011100019036</t>
  </si>
  <si>
    <t>Delta State Capital Territtory Dev. Agency (Non-Regular Overhead)</t>
  </si>
  <si>
    <t>011100019037</t>
  </si>
  <si>
    <t>Delta State Capital Territtory Dev. Agency (Regular Overhead)</t>
  </si>
  <si>
    <t>011100019038</t>
  </si>
  <si>
    <t>Office of the Chief Job Creation (Non-Regular Overhead)</t>
  </si>
  <si>
    <t>011100019039</t>
  </si>
  <si>
    <t xml:space="preserve"> Education Monitoring (Non-Regular Overhead)</t>
  </si>
  <si>
    <t>011100019040</t>
  </si>
  <si>
    <t>Investment (Non-Regular Overhead)</t>
  </si>
  <si>
    <t>011100019041</t>
  </si>
  <si>
    <t>Religious Affairs (Non-Regular Overhead)</t>
  </si>
  <si>
    <t>011100019042</t>
  </si>
  <si>
    <t>Asaba International Airport (Non-Regular Overhead)</t>
  </si>
  <si>
    <t>011100019043</t>
  </si>
  <si>
    <t>Local Government Project Monitoring (Non-Regular Overhead)</t>
  </si>
  <si>
    <t>011100019044</t>
  </si>
  <si>
    <t xml:space="preserve"> Legal Matters (Non-Regular Overhead)</t>
  </si>
  <si>
    <t>011100019045</t>
  </si>
  <si>
    <t>SACA (Non-Regular Overhead)</t>
  </si>
  <si>
    <t>011100019046</t>
  </si>
  <si>
    <t xml:space="preserve"> Legislative Matters (Non-Regular Overhead)</t>
  </si>
  <si>
    <t>011100019047</t>
  </si>
  <si>
    <t>Office of the Director-General, Special Services (Non-Regular Overhead)</t>
  </si>
  <si>
    <t>011100019048</t>
  </si>
  <si>
    <t xml:space="preserve">office of the Exec. Assit. Directorate of Orientation (Non-Regular Overhead)  </t>
  </si>
  <si>
    <t>011100019049</t>
  </si>
  <si>
    <t>Office of the Executive Assistant AT &amp; P (Non-Regular Overhead)</t>
  </si>
  <si>
    <t>0102000000: Office of the Deputy Governor</t>
  </si>
  <si>
    <t>Electricity Charges</t>
  </si>
  <si>
    <t>F102010000</t>
  </si>
  <si>
    <t>Telephone Charges</t>
  </si>
  <si>
    <t>Internet Access Charges</t>
  </si>
  <si>
    <t xml:space="preserve">Satellites Broadcasting Access Charges </t>
  </si>
  <si>
    <t>Sewerage Charges</t>
  </si>
  <si>
    <t>Office Stationaries/Computer Consumables</t>
  </si>
  <si>
    <t>Books</t>
  </si>
  <si>
    <t>Newspapers</t>
  </si>
  <si>
    <t>Magazines and Periodicals</t>
  </si>
  <si>
    <t>Printing of  Non Security Documents</t>
  </si>
  <si>
    <t>Drugs and Medical Supplies</t>
  </si>
  <si>
    <t>00040000030102</t>
  </si>
  <si>
    <t>Uniforms and Other Clothing</t>
  </si>
  <si>
    <t>00220000010105</t>
  </si>
  <si>
    <t>Maintenance of Motor Vehicles</t>
  </si>
  <si>
    <t>Maintenance of Building (Office)</t>
  </si>
  <si>
    <t>Office of the Deputy Governor Cont'd</t>
  </si>
  <si>
    <t>Maintenance of Building (Residential)</t>
  </si>
  <si>
    <t>Maintenance of Air Conditioners</t>
  </si>
  <si>
    <t>Maintenance of Computer &amp; IT Equipment</t>
  </si>
  <si>
    <t>Maintenance of Plants/ Generators</t>
  </si>
  <si>
    <t>Local Training – Course Fee</t>
  </si>
  <si>
    <t>International Training – Course Fee</t>
  </si>
  <si>
    <t>Other Training Materials</t>
  </si>
  <si>
    <t>Refreshment and Meals</t>
  </si>
  <si>
    <t>Event Packages &amp; Consumables</t>
  </si>
  <si>
    <t>Publicity and Advertisements</t>
  </si>
  <si>
    <t>Medical Expenses</t>
  </si>
  <si>
    <t>00040000030103</t>
  </si>
  <si>
    <t>Motor Vehicle Fuel Cost</t>
  </si>
  <si>
    <t>Plant/Generator Fuel Cost</t>
  </si>
  <si>
    <t>Maintenance of Deputy Gov's convoy  Vehicles</t>
  </si>
  <si>
    <t>Deputy Gov's hospitality and entertainment</t>
  </si>
  <si>
    <t>Deputy Gov's upkeep/guest houses</t>
  </si>
  <si>
    <t>Regular Overhead:</t>
  </si>
  <si>
    <t xml:space="preserve">Travels and Tours, Fuelling </t>
  </si>
  <si>
    <t>Imprest for State Tenders' Board</t>
  </si>
  <si>
    <t xml:space="preserve">Contractors Registration Board </t>
  </si>
  <si>
    <t>PS's Imprest</t>
  </si>
  <si>
    <t>Sub-Total (Regular)</t>
  </si>
  <si>
    <t>Total Overhead Cost, Office of the Deputy Governor</t>
  </si>
  <si>
    <t>Dir. Of Project Monitoring, Governor's Office (Non-Regular Overhead)</t>
  </si>
  <si>
    <t>Dir. Of Project Monitoring, Governor's Office (Regular Overhead)</t>
  </si>
  <si>
    <t>Office of Special Adviser NNDC BRACED  Commission (Non-Regular Overhead)</t>
  </si>
  <si>
    <t>Office of Special Adviser NNDC BRACED  Commission (Regular Overhead)</t>
  </si>
  <si>
    <t>Delta State SERVICOM Office (Non-Regular Overhead)</t>
  </si>
  <si>
    <t>Delta State SERVICOM Office (Regular Overhead)</t>
  </si>
  <si>
    <t>Dir of Multilateral &amp; Liaison Office, Abuja (Regular Overhead)</t>
  </si>
  <si>
    <t>F102011100</t>
  </si>
  <si>
    <t xml:space="preserve">Travel </t>
  </si>
  <si>
    <t>F103010000</t>
  </si>
  <si>
    <t>International Travel (Estacode)</t>
  </si>
  <si>
    <t>Water Rates &amp; Charges for Quarters and Complex</t>
  </si>
  <si>
    <t>Clearing of Sewage for Quarters and Complex</t>
  </si>
  <si>
    <t>Utility Charges</t>
  </si>
  <si>
    <t>Office Stationaries and Computer Consumables</t>
  </si>
  <si>
    <t>Books for Legislators/Management</t>
  </si>
  <si>
    <t xml:space="preserve">Newpapers </t>
  </si>
  <si>
    <t>Printing of Vote books</t>
  </si>
  <si>
    <t>Printing of Security Document(Vouchers etc)</t>
  </si>
  <si>
    <t>Drugs and Medical supplies for Assembly Clinic</t>
  </si>
  <si>
    <t>Uniform</t>
  </si>
  <si>
    <t>Delta State House of Assembly Cont'd</t>
  </si>
  <si>
    <t xml:space="preserve">Meals at Coffee Room </t>
  </si>
  <si>
    <t>Maintenance of Office FurnitureMaintenance of Office Furniture</t>
  </si>
  <si>
    <t>Maintenance of  Office  Building</t>
  </si>
  <si>
    <t>Maintenance of Building (Residential) Quarters</t>
  </si>
  <si>
    <t>Maintenance of  Generators for Complex and Quarters</t>
  </si>
  <si>
    <t>Maintenance of Street Lightings(Quarters and Complex</t>
  </si>
  <si>
    <t>Maintenance of minor roads at Complex and Quarters</t>
  </si>
  <si>
    <t>Maintenance of Library</t>
  </si>
  <si>
    <t>F103010001</t>
  </si>
  <si>
    <t>Training (Course Fee)</t>
  </si>
  <si>
    <t>International Trainingl (Course Fee)</t>
  </si>
  <si>
    <t>Capacity Building for members and Political Appointees</t>
  </si>
  <si>
    <t>Security at Complex and Quarters</t>
  </si>
  <si>
    <t>Cleaning Fumigation Services</t>
  </si>
  <si>
    <t>Rental of Generators for Special Events</t>
  </si>
  <si>
    <t>Constituency Running cost for Hon members</t>
  </si>
  <si>
    <t>Constituency Engagement</t>
  </si>
  <si>
    <t>Economic Intelligence</t>
  </si>
  <si>
    <t>Financial Consulting for House and Committes</t>
  </si>
  <si>
    <t>Information Technology</t>
  </si>
  <si>
    <t>Legal Services for External  Solicitors</t>
  </si>
  <si>
    <t>Engineering Services</t>
  </si>
  <si>
    <t>Architectural Services</t>
  </si>
  <si>
    <t>Surveying Services</t>
  </si>
  <si>
    <t>Research and Studies</t>
  </si>
  <si>
    <t>Monitoring and Evaluation</t>
  </si>
  <si>
    <t>Office of the Speaker (Upkeep)</t>
  </si>
  <si>
    <t>Committee Services/ Administarative Committee</t>
  </si>
  <si>
    <t>Fuelling of Motor Vehicle</t>
  </si>
  <si>
    <t>Fuelling of  Generators</t>
  </si>
  <si>
    <t>Lubricants</t>
  </si>
  <si>
    <t>Bank Charges</t>
  </si>
  <si>
    <t xml:space="preserve"> Insurance of Government Properties</t>
  </si>
  <si>
    <t>Refreshment for Management</t>
  </si>
  <si>
    <t>Entertainment and Hospitality</t>
  </si>
  <si>
    <t>Gift items.Diaries, Calendars etc</t>
  </si>
  <si>
    <t>Orientation, Inauguration and Hosting of Speakers Conference</t>
  </si>
  <si>
    <t>Medicals for management and Staff</t>
  </si>
  <si>
    <t>Staff Welfare</t>
  </si>
  <si>
    <t>Mandatorry Professional Bodies</t>
  </si>
  <si>
    <t>Sports</t>
  </si>
  <si>
    <t>Oversea Treatment</t>
  </si>
  <si>
    <t>Special Day Celebration</t>
  </si>
  <si>
    <t>Bills office, Tender Board Committee,Clerks and Table,Press and Publication</t>
  </si>
  <si>
    <t>Car Loan to Assembly Staff</t>
  </si>
  <si>
    <t>Housing Loan to Assembly Staff</t>
  </si>
  <si>
    <t>Grants to Communities/NGOs/FBOs/CBOs</t>
  </si>
  <si>
    <t>Total Overhead Cost, Delta State House of Assembly</t>
  </si>
  <si>
    <t xml:space="preserve">Donations &amp; Gifts </t>
  </si>
  <si>
    <t>Special Imprest for the maint. of VIP/SSG's Guest House (Regular)</t>
  </si>
  <si>
    <t>00220000010107</t>
  </si>
  <si>
    <t>Imprest for Sp Advisers/Executive Asst./Snr. Special Assistants/Special Assistants/PAs (Regular)</t>
  </si>
  <si>
    <t>Assistance to Federal Agencies</t>
  </si>
  <si>
    <t>00220000010116</t>
  </si>
  <si>
    <t>Techhnical Capacity Training /Professional Development and other Meetings (Formerly Consultancy)</t>
  </si>
  <si>
    <t xml:space="preserve">Maintenance of SSG's Gen Set </t>
  </si>
  <si>
    <t>Office of former Governors/Deputy Governors</t>
  </si>
  <si>
    <t>F104010500</t>
  </si>
  <si>
    <t>00220000010101</t>
  </si>
  <si>
    <t xml:space="preserve">Gifts &amp; Donations/Assistance to Religious Bodies  </t>
  </si>
  <si>
    <t>Office  of    the  S.S.G (Regular Overhead)</t>
  </si>
  <si>
    <t>Total Overhead Cost, Office of the SSG</t>
  </si>
  <si>
    <t>Delta State Liaison Office    Abuja  (Non-Regular)</t>
  </si>
  <si>
    <t>F104010302</t>
  </si>
  <si>
    <t>Delta State Liaison Office, Abuja (Regular)</t>
  </si>
  <si>
    <t>Delta State Liaison Office, Lagos (Non-Regular)</t>
  </si>
  <si>
    <t>F104010303</t>
  </si>
  <si>
    <t xml:space="preserve">Delta State Liaison Office, Lagos (Regular)   </t>
  </si>
  <si>
    <t>F104010305</t>
  </si>
  <si>
    <t>F104010304</t>
  </si>
  <si>
    <t>F104010301</t>
  </si>
  <si>
    <t>F104010307</t>
  </si>
  <si>
    <t>F104011100</t>
  </si>
  <si>
    <t>NNVS Unit - NNVS Programmes</t>
  </si>
  <si>
    <t>F104010700</t>
  </si>
  <si>
    <t>NNVS Unit - NNVS Programmes (Regular)</t>
  </si>
  <si>
    <t>F104010900</t>
  </si>
  <si>
    <t>Delta State Advisory Council (Regular)</t>
  </si>
  <si>
    <t>0104010400: Special Project (Political Appointees)</t>
  </si>
  <si>
    <t>Travelling and Transport</t>
  </si>
  <si>
    <t>F104010400</t>
  </si>
  <si>
    <t>Maintenance of Motor Vehicle</t>
  </si>
  <si>
    <t>Maintenace of Fueling of Generator Set</t>
  </si>
  <si>
    <t>Sensitization/Enlightment</t>
  </si>
  <si>
    <t>Training/Workshop</t>
  </si>
  <si>
    <t>Hosting of Event/Celebration</t>
  </si>
  <si>
    <t>Grants/Gifts</t>
  </si>
  <si>
    <t>Total Overhead Cost, Special Project (Political Appointees)</t>
  </si>
  <si>
    <t>011110001901</t>
  </si>
  <si>
    <t>Local Travel and Transport Others</t>
  </si>
  <si>
    <t>F104011000</t>
  </si>
  <si>
    <t>011110001902</t>
  </si>
  <si>
    <t>011110001903</t>
  </si>
  <si>
    <t>011110001904</t>
  </si>
  <si>
    <t>011110001905</t>
  </si>
  <si>
    <t>011110001906</t>
  </si>
  <si>
    <t>011110001907</t>
  </si>
  <si>
    <t>011110001908</t>
  </si>
  <si>
    <t>011110001909</t>
  </si>
  <si>
    <t>011110001910</t>
  </si>
  <si>
    <t>Field Materials and Supplies</t>
  </si>
  <si>
    <t>011110001911</t>
  </si>
  <si>
    <t>011110001912</t>
  </si>
  <si>
    <t>011110001913</t>
  </si>
  <si>
    <t>011110001914</t>
  </si>
  <si>
    <t>011110001915</t>
  </si>
  <si>
    <t>011110001916</t>
  </si>
  <si>
    <t>011110001917</t>
  </si>
  <si>
    <t>Other Fuel Cost</t>
  </si>
  <si>
    <t>011110001918</t>
  </si>
  <si>
    <t>011110001919</t>
  </si>
  <si>
    <t>Total Overhead Cost, Direct Labour Agency</t>
  </si>
  <si>
    <t>012500190001</t>
  </si>
  <si>
    <t>Up keep of Computer Centre</t>
  </si>
  <si>
    <t>012500190002</t>
  </si>
  <si>
    <t>Civil Service Week Celebration</t>
  </si>
  <si>
    <t>Bureaucrat</t>
  </si>
  <si>
    <t>Public Service Office</t>
  </si>
  <si>
    <t>Fueling and Maintenance of Generating Plant in the Cabinet Office Complex</t>
  </si>
  <si>
    <t>Standing Imprest for the Office of the Head of Service</t>
  </si>
  <si>
    <t>Imprest for the maint. of HOS Guest House</t>
  </si>
  <si>
    <t>Establishment &amp; Maint.of Public Service Hall of Fame for Retired PS</t>
  </si>
  <si>
    <t>Weekly Consultations of the HOS with PS,HOD of MDAs</t>
  </si>
  <si>
    <t>Public Servants Vehicle Loan Scheme</t>
  </si>
  <si>
    <t>Public Servants Housing Loan Scheme</t>
  </si>
  <si>
    <t>Seven(7) Week Mandatory ASCON Lectures and Exam</t>
  </si>
  <si>
    <t>Administrative Officers Forum</t>
  </si>
  <si>
    <t>Conduct of Examination by ASCON for transfer to Officers' Cadre</t>
  </si>
  <si>
    <t>Car Loan to Legal Officers</t>
  </si>
  <si>
    <t>Pre-retirement training</t>
  </si>
  <si>
    <t>Regular:</t>
  </si>
  <si>
    <t>International Travel and Transport Training</t>
  </si>
  <si>
    <t>Office of the Head of Service Cont'd</t>
  </si>
  <si>
    <t>Total Overhead Cost, Office of the Head of Service</t>
  </si>
  <si>
    <t>0106000000: Dir. of Cabinet and Administration</t>
  </si>
  <si>
    <t>Development of Archives</t>
  </si>
  <si>
    <t>Nigeria Security &amp; Civil Defence Corp</t>
  </si>
  <si>
    <t>Fuelling of Generating Set</t>
  </si>
  <si>
    <t>Running of Paperless State Exco</t>
  </si>
  <si>
    <t xml:space="preserve">Dir of Cabinet  and  Administration (Regular Overhead) </t>
  </si>
  <si>
    <t>NYSC</t>
  </si>
  <si>
    <t>Exco Documentation/Runing of the State EXCO Secretariat</t>
  </si>
  <si>
    <t>Sub- Total</t>
  </si>
  <si>
    <t>Total Overhead Cost, Directorate of Cabinet and Administration</t>
  </si>
  <si>
    <t>Selection/Recruitment into the Armed Forces and various Military Schools.</t>
  </si>
  <si>
    <t>National Council &amp; Other Meetings</t>
  </si>
  <si>
    <t>Armed Forces Remembrance Day Celebration</t>
  </si>
  <si>
    <t>Federal Government Policy on Citizenship and Nationalization</t>
  </si>
  <si>
    <t>Meetings - Refreshment and Meals</t>
  </si>
  <si>
    <t xml:space="preserve">Dir of Political And Security Services (Regular Overhead) </t>
  </si>
  <si>
    <t>Total Overhead Cost, Directorate of Political and Security Services</t>
  </si>
  <si>
    <t>In-House Training Programmes</t>
  </si>
  <si>
    <t>Regular Staff Training Courses</t>
  </si>
  <si>
    <t>Imprest for Staff Training Centre</t>
  </si>
  <si>
    <t>Examinations</t>
  </si>
  <si>
    <t>Pension Imprest</t>
  </si>
  <si>
    <t>National Council on Establishments</t>
  </si>
  <si>
    <t>Promotion Exercise for Pooled Staff</t>
  </si>
  <si>
    <t>Capacity Building(Local) Centralized for all Civil Servants and Political Appointees</t>
  </si>
  <si>
    <t>Establishments Proposal</t>
  </si>
  <si>
    <t>Printing of Pension Forms &amp; APER Forms</t>
  </si>
  <si>
    <t>Labour Relations</t>
  </si>
  <si>
    <t>Special Overhead, Management Imprest</t>
  </si>
  <si>
    <t>Regular Overhead, Establishment and Pension</t>
  </si>
  <si>
    <t>Total Overhead Cost, Directorate of Establishment &amp; Pension</t>
  </si>
  <si>
    <t>0109000000: Ministry of Information</t>
  </si>
  <si>
    <t>Printing Executed Elsewhere</t>
  </si>
  <si>
    <t>Publicity</t>
  </si>
  <si>
    <t>Consultancy Services</t>
  </si>
  <si>
    <t>Subvention to Field Offices</t>
  </si>
  <si>
    <t>DBS Licence</t>
  </si>
  <si>
    <t xml:space="preserve">Ministry of Information (Regular Overhead) </t>
  </si>
  <si>
    <t>Total Overhead Cost,   Ministry of Information</t>
  </si>
  <si>
    <t xml:space="preserve">Delta Broadcasting Service, Asaba Regular Overhead, </t>
  </si>
  <si>
    <t>F109010501</t>
  </si>
  <si>
    <t>00220000010103</t>
  </si>
  <si>
    <t>0109010502:Delta Radio/Television Station, Warri</t>
  </si>
  <si>
    <t xml:space="preserve"> Delta Radio/Television Station, Warri Regular Overhead,</t>
  </si>
  <si>
    <t>F109010502</t>
  </si>
  <si>
    <t>0109010503:  Delta Publishing Printing Company, Ltd</t>
  </si>
  <si>
    <t xml:space="preserve"> Delta Publishing Printing Company, Ltd. Regular Overhead,</t>
  </si>
  <si>
    <t>F109010503</t>
  </si>
  <si>
    <t>Refurbishment of Fire Fighting Trucks</t>
  </si>
  <si>
    <t>Hazard Allowances for Firemen</t>
  </si>
  <si>
    <t>Maintenance/Fueling of Fire Trucks/Water Tankers</t>
  </si>
  <si>
    <t>Maintenance/Servicing of Water Hydrant across the State</t>
  </si>
  <si>
    <t>National Council on Fire Service</t>
  </si>
  <si>
    <t>SEMA National Council Meetings</t>
  </si>
  <si>
    <t>F110010300</t>
  </si>
  <si>
    <t>Regular Overhead, Bureau for Special Duties</t>
  </si>
  <si>
    <t xml:space="preserve">Total Overhead Cost,  Bureau for Special Duties </t>
  </si>
  <si>
    <t>61</t>
  </si>
  <si>
    <t>0110010300: State Emergency Management Agency</t>
  </si>
  <si>
    <t>Grants/Relief Assistance to Diaster Victims</t>
  </si>
  <si>
    <t>00040000010114</t>
  </si>
  <si>
    <t>Total Overhead Cost, State Emergency Management Agency</t>
  </si>
  <si>
    <t>0110010400: Delta State Fire Service Command</t>
  </si>
  <si>
    <t>Regular Overhead, Delta State Fire Service Command</t>
  </si>
  <si>
    <t>F110010401</t>
  </si>
  <si>
    <t>Insurance for Firemen</t>
  </si>
  <si>
    <t>00040000010110</t>
  </si>
  <si>
    <t>Total Overhead Cost, Delta State Fire Service Command</t>
  </si>
  <si>
    <t>0110010500: Christian Pilgrims Welfare Board</t>
  </si>
  <si>
    <t>Regular Overhead, Christian Pilgrims Welfare Board</t>
  </si>
  <si>
    <t>F110010500</t>
  </si>
  <si>
    <t>0110010600: Muslim Pilgrims Welfare Board</t>
  </si>
  <si>
    <t>Regular Overhead, Muslim Pilgrims Welfare Board</t>
  </si>
  <si>
    <t>F110010600</t>
  </si>
  <si>
    <t>0111000000: Bureau of Local Government Pensions</t>
  </si>
  <si>
    <t>Special Overhead, Bureau of Local Government Pension</t>
  </si>
  <si>
    <t>F111010000</t>
  </si>
  <si>
    <t xml:space="preserve">Sub-Total Non-Regular Overhead </t>
  </si>
  <si>
    <t xml:space="preserve">Bureau of Local Government Pension (Regular Overhead) </t>
  </si>
  <si>
    <t>Total Overhead Cost, Bureau of Local Government Pensions</t>
  </si>
  <si>
    <t>Training within Nigeria</t>
  </si>
  <si>
    <t>Local travel within Delta</t>
  </si>
  <si>
    <t>Electricity charges for office</t>
  </si>
  <si>
    <t>Subscription for internet</t>
  </si>
  <si>
    <t>Website maintainance (DSIEC)</t>
  </si>
  <si>
    <t xml:space="preserve">Purchase of  office light </t>
  </si>
  <si>
    <t>Chairman's Residence</t>
  </si>
  <si>
    <t>Stationaries/Computer consumables</t>
  </si>
  <si>
    <t>Library</t>
  </si>
  <si>
    <t>Daily Prints</t>
  </si>
  <si>
    <t>Maintenance Office vehicles</t>
  </si>
  <si>
    <t>Maintenance of Office furniture</t>
  </si>
  <si>
    <t>Office Building</t>
  </si>
  <si>
    <t>Office Airconditioner</t>
  </si>
  <si>
    <t>Office Equipment</t>
  </si>
  <si>
    <t>Maintenance of Computer</t>
  </si>
  <si>
    <t>Training</t>
  </si>
  <si>
    <t>Police,SSS,</t>
  </si>
  <si>
    <t>Fuelling of Motor vehicle/</t>
  </si>
  <si>
    <t>Fuelling of Generator</t>
  </si>
  <si>
    <t>Meetings</t>
  </si>
  <si>
    <t>Annual Budget Preparation</t>
  </si>
  <si>
    <t>Security Document for Bye-Election</t>
  </si>
  <si>
    <t>Envelops,calendars, posters</t>
  </si>
  <si>
    <t xml:space="preserve">Capacity Training </t>
  </si>
  <si>
    <t>Delta State Independent Electoral Commission Cont'd</t>
  </si>
  <si>
    <t>Election and projects</t>
  </si>
  <si>
    <t>Seminars bags, consumables etc</t>
  </si>
  <si>
    <t>Other Professional Services</t>
  </si>
  <si>
    <t>Fuel, car repairs etc</t>
  </si>
  <si>
    <t>Security Services</t>
  </si>
  <si>
    <t>Legal Services</t>
  </si>
  <si>
    <t>Other Miscellaneous Expenses</t>
  </si>
  <si>
    <t xml:space="preserve"> Other Training Materials</t>
  </si>
  <si>
    <t>Other  Materials and Supplies</t>
  </si>
  <si>
    <t>Total Overhead Cost, Delta State Independent Electoral Commission</t>
  </si>
  <si>
    <t>Special Audit</t>
  </si>
  <si>
    <t>F113000000</t>
  </si>
  <si>
    <t>Value for Money Audit/Project Monitoring</t>
  </si>
  <si>
    <t>F113000400</t>
  </si>
  <si>
    <t>Installation of Mgt of Internal Control(Audit Tool).</t>
  </si>
  <si>
    <t>National Programme of Action(NPOA) of Africa Peer Review Mechanism</t>
  </si>
  <si>
    <t>Maintenance of computerized facilities</t>
  </si>
  <si>
    <t>Maintenance of generators</t>
  </si>
  <si>
    <t>Council Meetings</t>
  </si>
  <si>
    <t>Regular Overhead, Office of the Auditor General (State)</t>
  </si>
  <si>
    <t>Total Overhead Cost, Office of the Auditor General (State)</t>
  </si>
  <si>
    <t>Audit Special Fund (Investigation Fund)</t>
  </si>
  <si>
    <t>Value for Money Audit</t>
  </si>
  <si>
    <t>Payment of Subscription/Maintenance of V-SAT facilities in Hqs and 25 field offices</t>
  </si>
  <si>
    <t>Fueling/Maintence of Generators</t>
  </si>
  <si>
    <t>Auditing Control Tools (IFRS,IPSAS Conversion)</t>
  </si>
  <si>
    <t xml:space="preserve">Technical Capacity Training and Professional Development </t>
  </si>
  <si>
    <t>Implementation of IPSAS for Local Government Councils</t>
  </si>
  <si>
    <t>Conferences and Seminars</t>
  </si>
  <si>
    <t>Revaluation of Local Government Assets</t>
  </si>
  <si>
    <t>Total Overhead Cost, Office of the Auditor General (Local Government)</t>
  </si>
  <si>
    <t>0115000000: Delta State Pension Bureau</t>
  </si>
  <si>
    <t>Special Overhead, State Pension Bureau</t>
  </si>
  <si>
    <t>Regular Overhead, State Pension Bureau</t>
  </si>
  <si>
    <t>Total Overhead Cost, Delta State Pension Bureau</t>
  </si>
  <si>
    <t>Printing of Civil Service Commission Annual Reports</t>
  </si>
  <si>
    <t xml:space="preserve">National Conference of Civil Service Commissioners </t>
  </si>
  <si>
    <t xml:space="preserve"> Civil Service Promotion Examination</t>
  </si>
  <si>
    <t>F116010302</t>
  </si>
  <si>
    <t>Monitoring Services</t>
  </si>
  <si>
    <t>F116010402</t>
  </si>
  <si>
    <t>Mandatory Meetings</t>
  </si>
  <si>
    <t>Review of Public Service Regulations of 1978</t>
  </si>
  <si>
    <t>Recruitment</t>
  </si>
  <si>
    <t>Servicing of Commission's Website</t>
  </si>
  <si>
    <t>Deployment of E-Archiving/Electronic Management System/Dev. Of Database</t>
  </si>
  <si>
    <t>Regular Overhead, Civil Service Commission</t>
  </si>
  <si>
    <t>Total Overhead Cost, Civil Service Commission</t>
  </si>
  <si>
    <t>Capacity Building  (DTHA/Commission)</t>
  </si>
  <si>
    <t>00150000010107</t>
  </si>
  <si>
    <t xml:space="preserve">National/State Commission Meetings </t>
  </si>
  <si>
    <t>Commission Distinguisehed Annual Lecture Series</t>
  </si>
  <si>
    <t>Wardrobe/Special Duty Allowance</t>
  </si>
  <si>
    <t>Promotion Examination</t>
  </si>
  <si>
    <t>Annual Award/Dinner</t>
  </si>
  <si>
    <t>HASC Scheme of Service Review</t>
  </si>
  <si>
    <t>Regular Overhead - House of Assembly Service Commission</t>
  </si>
  <si>
    <t>Total Overhead Cost, Delta State House of Assembly Service Commission</t>
  </si>
  <si>
    <t>Regular Overhead , Local Government Service Commission</t>
  </si>
  <si>
    <t>F118010000</t>
  </si>
  <si>
    <t>0119000000: Delta State Public Procurement Commission</t>
  </si>
  <si>
    <t>Delta Public Procurement Commission</t>
  </si>
  <si>
    <t>F119010000</t>
  </si>
  <si>
    <t>TOTAL OVERHEAD COST, ADMINISTRTATION SECTOR</t>
  </si>
  <si>
    <t xml:space="preserve">0201000000: Ministry of Lands, Survey &amp; Urban Development (Hqtrs) </t>
  </si>
  <si>
    <t>Rents on Hired Buildings</t>
  </si>
  <si>
    <t>Removal of Illegal Structures/Slum Clearance</t>
  </si>
  <si>
    <t>Judges Residence Rents</t>
  </si>
  <si>
    <t>Regular Overhead Min. of   Lands, Surveys &amp; Urban Dev. (Hqtrs)</t>
  </si>
  <si>
    <t>Regular Overhead, Land Use Allocation Committee</t>
  </si>
  <si>
    <t>Total Overhead Cost, Ministry of Lands, Survey &amp; Urban Development</t>
  </si>
  <si>
    <t>0201010602: Delta State Boundary Commission</t>
  </si>
  <si>
    <t>Boundary Scholars Allowance/Travels etc</t>
  </si>
  <si>
    <t>F201010602</t>
  </si>
  <si>
    <t>Regular Overhead - Delta State Boundary Commission</t>
  </si>
  <si>
    <t>Total Overhead Cost, Delta State Boundary Commission</t>
  </si>
  <si>
    <t>0201010700: Urban and Regional Planning Board</t>
  </si>
  <si>
    <t>Special Overhead, Urban &amp; Regional Planning Board</t>
  </si>
  <si>
    <t>Regular Overhead, Urban and Regional Planning Board</t>
  </si>
  <si>
    <t>Total Overhead Cost, Urban and Regional Planning Board</t>
  </si>
  <si>
    <t xml:space="preserve">0202000000: Directorate of Culture &amp; Tourism </t>
  </si>
  <si>
    <t>World Tourism Day</t>
  </si>
  <si>
    <t>00020000010106</t>
  </si>
  <si>
    <t>National &amp; State Council Meetings on Culture &amp; Tourism</t>
  </si>
  <si>
    <t>Delta Heritage Festival</t>
  </si>
  <si>
    <t>Specialized Capacity Building for the Directorate and Parastatals</t>
  </si>
  <si>
    <t>Grants to Artists</t>
  </si>
  <si>
    <t>Regular Overhead, Dir. Of Culture &amp; Tourism</t>
  </si>
  <si>
    <t xml:space="preserve">Total Overhead Cost, Directorate of Culture &amp; Tourism </t>
  </si>
  <si>
    <t>Regular Overhead, Delta State Council for Arts Culture</t>
  </si>
  <si>
    <t>F202010501</t>
  </si>
  <si>
    <t>F202010400</t>
  </si>
  <si>
    <t>Cleaning and Fumigation Services</t>
  </si>
  <si>
    <t>Information Technology Consulting</t>
  </si>
  <si>
    <t>Delta Tourism Exposition</t>
  </si>
  <si>
    <t>00020000010105</t>
  </si>
  <si>
    <t>Delta Talent Quest/Reality Tv Show</t>
  </si>
  <si>
    <t>Tourism Development</t>
  </si>
  <si>
    <t>Total Overhead Cost, Delta State Tourism Board</t>
  </si>
  <si>
    <t>0203000000: Ministry of Agricultre &amp; Natural Resources Hqtrs</t>
  </si>
  <si>
    <t>State Council on Agriculture</t>
  </si>
  <si>
    <t>National Council on Agriculture</t>
  </si>
  <si>
    <t>World Food Day</t>
  </si>
  <si>
    <t>Quarterly Monitoring of Agric. Projects/Programmes</t>
  </si>
  <si>
    <t>Production of Jingles for dissemination to Farmers</t>
  </si>
  <si>
    <t>Veterinary Council Matters</t>
  </si>
  <si>
    <t>Agricultural Trade Fairs and Shows</t>
  </si>
  <si>
    <t>Agricultural Conferences and Seminars</t>
  </si>
  <si>
    <t>Fisheries Council</t>
  </si>
  <si>
    <t>Regular Overhead, Min. of Agriculture &amp; Natural Resources Hqtrs</t>
  </si>
  <si>
    <t>Total Overhead Cost, Ministry of Agricultre &amp; Natural Resources Hqtrs</t>
  </si>
  <si>
    <t>0203010500: Department of Agricultural Development Programme</t>
  </si>
  <si>
    <t>Regular Overhead, Dept of Agric. Dev. Progam</t>
  </si>
  <si>
    <t>F203010500</t>
  </si>
  <si>
    <t>70421</t>
  </si>
  <si>
    <t>0203010700: Task Force on Communal Farm</t>
  </si>
  <si>
    <t>Regular Overhead, Task Force on Communal Farm</t>
  </si>
  <si>
    <t>F203010700</t>
  </si>
  <si>
    <t>0203010800: Tree Corps Unit</t>
  </si>
  <si>
    <t>Regular Overhead, Tree Crops Unit</t>
  </si>
  <si>
    <t>F203010800</t>
  </si>
  <si>
    <t>Regular Overhead, Delta State Agric Procurement Agency</t>
  </si>
  <si>
    <t>F203010600</t>
  </si>
  <si>
    <t>0203010800: Tractor Hire Agency</t>
  </si>
  <si>
    <t>Special Overhead, Tractor Hire Agency</t>
  </si>
  <si>
    <t>F203010900</t>
  </si>
  <si>
    <t>Regular Overhead, Tractor Hire Agency</t>
  </si>
  <si>
    <t>Total Overhead Cost, Tractor Hire Agency</t>
  </si>
  <si>
    <t>0204000000:  Ministry of Trade and Investment</t>
  </si>
  <si>
    <t>National/State Council Meetings</t>
  </si>
  <si>
    <t>African Industrialisation/Cooperative Day</t>
  </si>
  <si>
    <t>Investment Forum</t>
  </si>
  <si>
    <t>Attendance of Trade Fairs/Exhibition</t>
  </si>
  <si>
    <t>Project Intervention and Monitoring</t>
  </si>
  <si>
    <t>Regular Overhead, Min of Commerce &amp; Industry</t>
  </si>
  <si>
    <t>Total Overhead Cost, Ministry of Trade and Investment</t>
  </si>
  <si>
    <t>0204010400: Delta State Micro, Small and Medium Enterprises Agency</t>
  </si>
  <si>
    <t>Micro-Credit Programmes</t>
  </si>
  <si>
    <t>F204010400</t>
  </si>
  <si>
    <t>Regular Overhead - Delta State Micro, Small and Medium Ent. Dev. Agency</t>
  </si>
  <si>
    <t>Total Overhead Cost, Delta State Micro, Small and Medium Enterprises Agency</t>
  </si>
  <si>
    <t>0205000000: Ministry of Energy</t>
  </si>
  <si>
    <t>National Council on Power (NACOP) meetings</t>
  </si>
  <si>
    <t>Fueling &amp; Maintenance of Gen. Sets, payment of NEPA/NITEL Bills</t>
  </si>
  <si>
    <t>Maintenance of  Grd Powered Street lights</t>
  </si>
  <si>
    <t>Fueling Generators for Street lights in Asaba,  Warri,Sapele,Ughelli and Oghara</t>
  </si>
  <si>
    <t>Maintenance of Solar Powered Street Lights in the State</t>
  </si>
  <si>
    <t>Renewable Energy</t>
  </si>
  <si>
    <t>Regular Overhead, Min of Energy</t>
  </si>
  <si>
    <t>Total Overhead Cost, Ministry of Energy</t>
  </si>
  <si>
    <t>Special Overhead, Rural Dev. Agency</t>
  </si>
  <si>
    <t>F205010400</t>
  </si>
  <si>
    <t>Regular Overhead, Rural Dev. Agency</t>
  </si>
  <si>
    <t>Total Overhead Cost,  Rural Development Agency</t>
  </si>
  <si>
    <t xml:space="preserve">0206000000: Minstry of Water Resources </t>
  </si>
  <si>
    <t>World Water Day</t>
  </si>
  <si>
    <t>Monitoring/Project Supervision</t>
  </si>
  <si>
    <t>Regular Overhead - Min. of Water Resources</t>
  </si>
  <si>
    <t xml:space="preserve">Total Overhead Cost, Minstry of Water Resources </t>
  </si>
  <si>
    <t>National Cuncil Meetings (Non- regular Overhead)</t>
  </si>
  <si>
    <t>Regular Overhead, Urban Water Board-NEPA bills/fueling of Gen Sets</t>
  </si>
  <si>
    <t>Regular Overhead, Delta  Urban Water Board</t>
  </si>
  <si>
    <t>Total Overhead Cost, Urban Water Board</t>
  </si>
  <si>
    <t>RUWATSAN - NEPA bills/fueling of Gen Sets</t>
  </si>
  <si>
    <t>F206010402</t>
  </si>
  <si>
    <t>Delta Rural Water  Supply and Sanit.Agency</t>
  </si>
  <si>
    <t>STOWASA  (Small Towns Water Supply and Sanitation Agency)</t>
  </si>
  <si>
    <t>Regular Overhead Delta Rural Water  Supply and Sanit.Agency</t>
  </si>
  <si>
    <t>Total Overhead Cost, Delta State Rural Water Supply &amp; Sanitation Agency</t>
  </si>
  <si>
    <t>Maintenance of ICT Equipment at Training Centre (NECAB Building)/Innovation Hall</t>
  </si>
  <si>
    <t>National Council Meetings</t>
  </si>
  <si>
    <t>World Science Day</t>
  </si>
  <si>
    <t xml:space="preserve">Regular Overhead, Dir. Of Science &amp; Tech. </t>
  </si>
  <si>
    <t>Total Overhead Cost, Dir. Of Science &amp; Technology</t>
  </si>
  <si>
    <t>0208000000:  Ministry of Oil and Gas</t>
  </si>
  <si>
    <t>Delta State Oil &amp; Gas Production Monitoring</t>
  </si>
  <si>
    <t>Delta State Oil &amp; Gas investment Promotion Programme</t>
  </si>
  <si>
    <t>F208010300</t>
  </si>
  <si>
    <t xml:space="preserve">Delta Content Promotion in the Oil and Gas Industry </t>
  </si>
  <si>
    <t>Oil and Gas Industry Stakeholders/Community Engagement Programme</t>
  </si>
  <si>
    <t>Delta State Oil and Gas Industry Spotlight</t>
  </si>
  <si>
    <t>Specialized consultancy/Capacity Building on Oil and Gas</t>
  </si>
  <si>
    <t>Regular Overhead, Min. of Oil &amp; Gas</t>
  </si>
  <si>
    <t xml:space="preserve">0209000000: Ministry of Finance </t>
  </si>
  <si>
    <t>Committees &amp; Commissions</t>
  </si>
  <si>
    <t>Fees for Revenue Generation e.t.c.</t>
  </si>
  <si>
    <t>Computerisation Services</t>
  </si>
  <si>
    <t>Publications/Publicity</t>
  </si>
  <si>
    <t>Maintenance of Generator</t>
  </si>
  <si>
    <t xml:space="preserve">Information System Section (Project e-Delta) </t>
  </si>
  <si>
    <t>Computerisation Services(Project e-Delta)</t>
  </si>
  <si>
    <t xml:space="preserve">Maintenance of Internet Services/Subscription(Project e-Delta) </t>
  </si>
  <si>
    <t>Maintenance of Conference Hall</t>
  </si>
  <si>
    <t>Maintenance of Generator (New Secretariat Annexe)</t>
  </si>
  <si>
    <t>Statistical Activities/Research Intervention Fund</t>
  </si>
  <si>
    <t>Cost of 10% Collection for other MDAs</t>
  </si>
  <si>
    <t>Development Programme</t>
  </si>
  <si>
    <t>State Fiscal, Transparency, Accountability and Sustainability (SFTAS) Programme</t>
  </si>
  <si>
    <t>F209010001</t>
  </si>
  <si>
    <t>Regular Overhead, Min of Finance</t>
  </si>
  <si>
    <t>0209010400: Debt Management Office</t>
  </si>
  <si>
    <t>Regular Overhead, DMO</t>
  </si>
  <si>
    <t>F209010400</t>
  </si>
  <si>
    <t xml:space="preserve">0210000000: Board of internal Revenue </t>
  </si>
  <si>
    <t xml:space="preserve">Board of internal Revenue </t>
  </si>
  <si>
    <t>0211000000: Ministry of Economic Planning</t>
  </si>
  <si>
    <t>Budget Performance Evaluation/Tracking</t>
  </si>
  <si>
    <t>Publications</t>
  </si>
  <si>
    <t>Special Research/Statistical Surveys</t>
  </si>
  <si>
    <t>00020000010107</t>
  </si>
  <si>
    <t>State Planning /Preparation of State Budget</t>
  </si>
  <si>
    <t>Medium Term Expenditure Framework (MTEF)</t>
  </si>
  <si>
    <t>F211010001</t>
  </si>
  <si>
    <t xml:space="preserve">Joint Planning Board </t>
  </si>
  <si>
    <t>Efficiency Unit (Regular Overhead)</t>
  </si>
  <si>
    <t>F211010302</t>
  </si>
  <si>
    <t xml:space="preserve">Monitoring and Evaluation </t>
  </si>
  <si>
    <t>F211010700</t>
  </si>
  <si>
    <t>Field Office Claims for Statistics Officers</t>
  </si>
  <si>
    <t>Public Complaint Desk</t>
  </si>
  <si>
    <t>NEPAD</t>
  </si>
  <si>
    <t>Economic Summit</t>
  </si>
  <si>
    <t>Development Planning</t>
  </si>
  <si>
    <t>Vision Mainstream</t>
  </si>
  <si>
    <t>Technical Co-operation with Donor Agencies and Multi-Lateral Organizations</t>
  </si>
  <si>
    <t>Transforming Rural Areas in Nigeria (Train)/CEEDs FGN/DTSG Programme</t>
  </si>
  <si>
    <t>00080000010101</t>
  </si>
  <si>
    <t>Budget Management and Expenditure Control</t>
  </si>
  <si>
    <t>Standing Imprest for Expenditure Verification and Screening</t>
  </si>
  <si>
    <t>Special Project /Renewable Energy</t>
  </si>
  <si>
    <t>00140000010104</t>
  </si>
  <si>
    <t>Administrative Services</t>
  </si>
  <si>
    <t xml:space="preserve">Budget Department </t>
  </si>
  <si>
    <t>Egbokodo Training Centre</t>
  </si>
  <si>
    <t>Implementation of Delta State Procurement Reforms</t>
  </si>
  <si>
    <t>00130000010103</t>
  </si>
  <si>
    <t>Ministry of Economic Planning Cont'd</t>
  </si>
  <si>
    <t>Computation of State/National GDP Exercise( Meetings and Conferences)</t>
  </si>
  <si>
    <t>Delta State Economic Advisory Council and Economic Management Term</t>
  </si>
  <si>
    <t>Documentation Management/Database Administration for ICT</t>
  </si>
  <si>
    <t>International Public Sector Accounting (IPSAS)</t>
  </si>
  <si>
    <t>Economic Recovery and Growth Plan</t>
  </si>
  <si>
    <t>NASSCO/SOCU Management</t>
  </si>
  <si>
    <t>Regular</t>
  </si>
  <si>
    <t>Regular Overhead, Min of Economic  Planning</t>
  </si>
  <si>
    <t>Budget Department</t>
  </si>
  <si>
    <t>Regular Overhead, Economic Intelligent Unit</t>
  </si>
  <si>
    <t>Passages/Special Duties Outsides Nigeria (Estacode)</t>
  </si>
  <si>
    <t>Passages/Special Duties Outsides Nigeria (CPWB Estacode)</t>
  </si>
  <si>
    <t>Passages/Special Duties Outsides Nigeria (MPWB Estacode)</t>
  </si>
  <si>
    <t>Bank Charges (State:Other Charges)</t>
  </si>
  <si>
    <t>F010000001</t>
  </si>
  <si>
    <t>Bank Charges (State:Interest on Loan)</t>
  </si>
  <si>
    <t>Inspection/Hosting of TCO meetings</t>
  </si>
  <si>
    <t>F212010300</t>
  </si>
  <si>
    <t>Printing of Treasury Forms</t>
  </si>
  <si>
    <t>Printing of Cash Books,etc</t>
  </si>
  <si>
    <t>Maintenance of other Assets</t>
  </si>
  <si>
    <t>Capacity Building(Oversea) Centralized for all Civil Servants and Political Appointees</t>
  </si>
  <si>
    <t>Management Appreciation Programme/Monitoring</t>
  </si>
  <si>
    <t>Litigation and Legal Matters (State)</t>
  </si>
  <si>
    <t>State Partnership with ICAN on Tuition Centre in Delta State</t>
  </si>
  <si>
    <t>00080000010103</t>
  </si>
  <si>
    <t>State Salaries and Pension Audit Programme</t>
  </si>
  <si>
    <t>Publication of Final Accounts</t>
  </si>
  <si>
    <t>Printing of Airport Receipts</t>
  </si>
  <si>
    <t>Implementation of IPSAS(State MDAs and Local Government)</t>
  </si>
  <si>
    <t>Refund-General</t>
  </si>
  <si>
    <t>Standing Imprest</t>
  </si>
  <si>
    <t>Pension Administration</t>
  </si>
  <si>
    <t>F212010800</t>
  </si>
  <si>
    <t>Subvention to Treasury Cash Offices</t>
  </si>
  <si>
    <t xml:space="preserve">Regular Overhead, Office of the Accountant Gen. </t>
  </si>
  <si>
    <t>Total Overhead: Office of the Accountant General</t>
  </si>
  <si>
    <t>National Council/Other Meetings</t>
  </si>
  <si>
    <t xml:space="preserve">Vegetation Control </t>
  </si>
  <si>
    <t>Subvention to field officers</t>
  </si>
  <si>
    <t>Regular Overhead, Min. of Works</t>
  </si>
  <si>
    <t>0214000000:  Ministry of Housing</t>
  </si>
  <si>
    <t>Pre-Contract Services (Consultancy Services)</t>
  </si>
  <si>
    <t>World Habitat Day</t>
  </si>
  <si>
    <t>Cleaning of State Secretariat Building/House of Assembly</t>
  </si>
  <si>
    <t xml:space="preserve"> Clearing of Commissioners/Perm. Secs/Okwe/Junior Staff Quarters and Guest Houses,Surroundings and Adjoining Roads </t>
  </si>
  <si>
    <t>Subvention to Field Offices in 25 LGAs</t>
  </si>
  <si>
    <t>Regular Overhead Min. of Housing</t>
  </si>
  <si>
    <t>Sub-Head</t>
  </si>
  <si>
    <t>0215000000:  Dir of Transport</t>
  </si>
  <si>
    <t>World Marine Day/Maritime Activities</t>
  </si>
  <si>
    <t>Bulk Purchase of Petroleum/Lube Oil Products</t>
  </si>
  <si>
    <t>Workshop for Drivers of State Public Service and Urban Mass Transit Bus Scheme</t>
  </si>
  <si>
    <t>Traffic Census</t>
  </si>
  <si>
    <t>Regular Overhead, Delta State Traffic Management Agency</t>
  </si>
  <si>
    <t>Special Overhead, School Of Marine Technology</t>
  </si>
  <si>
    <t>F215010401</t>
  </si>
  <si>
    <t>Regular Overhead, School of Marine Technology</t>
  </si>
  <si>
    <t>Total : Delta State School of Marine Tech. Burutu</t>
  </si>
  <si>
    <t>0215010800: Director, Delta State Traffic Management Authority</t>
  </si>
  <si>
    <t>Regular Overhead, Delta State Traffic Management Authority</t>
  </si>
  <si>
    <t>0216000000:  Office of the Surveyor General</t>
  </si>
  <si>
    <t xml:space="preserve">Regular Overhead, Office of the Surveyor General </t>
  </si>
  <si>
    <t>0217000000:  Ministry of Urban Renewal</t>
  </si>
  <si>
    <t>Local Travel and Transport</t>
  </si>
  <si>
    <t>F217010000</t>
  </si>
  <si>
    <t xml:space="preserve">Special Imprest, Min of Urban Renewal </t>
  </si>
  <si>
    <t>Regular Overhead, Min. of Urban Renewal</t>
  </si>
  <si>
    <t>TOTAL OVERHEAD COST, ECONOMIC SECTOR</t>
  </si>
  <si>
    <t>Consultancy/Legal Services</t>
  </si>
  <si>
    <t>Special overhead for Journals,etc</t>
  </si>
  <si>
    <t>NBA Conference</t>
  </si>
  <si>
    <t>Others (including Election Petitions)</t>
  </si>
  <si>
    <t>Arbitration</t>
  </si>
  <si>
    <t>Operation of DPP</t>
  </si>
  <si>
    <t>Handling Charges</t>
  </si>
  <si>
    <t xml:space="preserve">Operation of DCL </t>
  </si>
  <si>
    <t>Publication/Publicity of Judicial Matters</t>
  </si>
  <si>
    <t>Judgement Debts</t>
  </si>
  <si>
    <t>Administration of Criminal Justice</t>
  </si>
  <si>
    <t>Office Accommodation Rent</t>
  </si>
  <si>
    <t>Total, Ministry of Justice</t>
  </si>
  <si>
    <t>Judges Conference and Legal Year</t>
  </si>
  <si>
    <t>Valedictory Court Session</t>
  </si>
  <si>
    <t>Prison Visits</t>
  </si>
  <si>
    <t>Capacity Building</t>
  </si>
  <si>
    <t>Judiciary Quarterly Journals,Diary and Calender/Gift Items</t>
  </si>
  <si>
    <t xml:space="preserve"> Medical for Honourable  Judges and others</t>
  </si>
  <si>
    <t>Election Tribunal Expenses</t>
  </si>
  <si>
    <t>CJN and Civil Service Football Competition</t>
  </si>
  <si>
    <t>00080000020105</t>
  </si>
  <si>
    <t>Upkeep/Maintenance of  Chief Judge's Lodge/Guest House</t>
  </si>
  <si>
    <t>Transport and Travelling for Chief Judge</t>
  </si>
  <si>
    <t>Non-Regular</t>
  </si>
  <si>
    <t>Regular Overhead, High Court of Justice</t>
  </si>
  <si>
    <t>Regular Overhead, High Court of Justice (Multi Door)</t>
  </si>
  <si>
    <t>Total, High Court of Justice</t>
  </si>
  <si>
    <t xml:space="preserve"> Judges Conference/Seminars</t>
  </si>
  <si>
    <t>Printing of Judiciary Quarterly Journals,Diary and Calender/Gift Items</t>
  </si>
  <si>
    <t>Overseas Medical for Judges</t>
  </si>
  <si>
    <t>Compulsory Multi Door Court Training</t>
  </si>
  <si>
    <t>Chief Justice of Nigeria Annual Sports Competition</t>
  </si>
  <si>
    <t>Regular Overhead, Customary Court of Appeal</t>
  </si>
  <si>
    <t>Total, Customary Court of Appeal</t>
  </si>
  <si>
    <t>Hosting of JSC meetings</t>
  </si>
  <si>
    <t>F304010000</t>
  </si>
  <si>
    <t>Hon. Chief Judges Annual Award/Dinner/Gala night</t>
  </si>
  <si>
    <t>Printing of Calenders/Diaries</t>
  </si>
  <si>
    <t>Annual Chief Justice of Nigeria Sports Competition</t>
  </si>
  <si>
    <t>Judge, Revenue Courts Judge and Magistrate  Appointment</t>
  </si>
  <si>
    <t>Promotion/Examination Judicial Service staff</t>
  </si>
  <si>
    <t>National Council and other meetings</t>
  </si>
  <si>
    <t xml:space="preserve">Total, Judiciary Service Commission </t>
  </si>
  <si>
    <t>TOTAL OVERHEAD COST LAW AND JUSTICE SECTOR</t>
  </si>
  <si>
    <t>0401000000: Delta State Oil Producing Communities Development Commission</t>
  </si>
  <si>
    <t>Office of Executive Assistant  (DESOPADEC)</t>
  </si>
  <si>
    <t>F401010000</t>
  </si>
  <si>
    <t>0402000000: Delta State Capital Territory Development Agency</t>
  </si>
  <si>
    <t>F402010000</t>
  </si>
  <si>
    <t>Total, Delta State Capital Territory Development Agency</t>
  </si>
  <si>
    <t>0403000000: Warri-Uvwie and Environs Special Area Development Agency</t>
  </si>
  <si>
    <t>TOTAL OVERHEAD COST REGIONAL SECTOR</t>
  </si>
  <si>
    <t>Voluntary Organisation</t>
  </si>
  <si>
    <t>Youth Empowerment  Scheme</t>
  </si>
  <si>
    <t>00080000020102</t>
  </si>
  <si>
    <t>National Youth Week Celebration</t>
  </si>
  <si>
    <t>00070000010110</t>
  </si>
  <si>
    <t>Delta Youth Week Summit</t>
  </si>
  <si>
    <t>National Council  on Youth and other Meetings</t>
  </si>
  <si>
    <t>Centre for Youth Dev. Dialogue</t>
  </si>
  <si>
    <t>Upkeep of Ten Youth Development and Skill Acquisation Centres</t>
  </si>
  <si>
    <t>00080000020101</t>
  </si>
  <si>
    <t>African Youth Day Celebration</t>
  </si>
  <si>
    <t>00080000010107</t>
  </si>
  <si>
    <t>State Youth Parliament</t>
  </si>
  <si>
    <t xml:space="preserve">Delta State Youth Council </t>
  </si>
  <si>
    <t>Youth Resource Learning Centre,Sapele Unicef Assisted</t>
  </si>
  <si>
    <t xml:space="preserve">Regular Overhead, Min. of Youth Development </t>
  </si>
  <si>
    <t>Total, Ministry of Youth Development</t>
  </si>
  <si>
    <t>0502000000:  Directorate of Chieftaincy Affairs</t>
  </si>
  <si>
    <t>Stipends/Allowance for Traditional Rulers</t>
  </si>
  <si>
    <t>Quarterly Meetings with Traditional Monarchs and Seminars</t>
  </si>
  <si>
    <t>National Council for Traditional Rulers &amp; Other Meetings</t>
  </si>
  <si>
    <t>Regular Overhead, Directorate of Chieftaincy Affairs</t>
  </si>
  <si>
    <t>Regular Overhead, Secretariat of Traditional Council</t>
  </si>
  <si>
    <t>Total, Directorate of Chieftaincy Affairs</t>
  </si>
  <si>
    <t>Inspection/Monitoring of LG Projects</t>
  </si>
  <si>
    <t>F503010400</t>
  </si>
  <si>
    <t>70133</t>
  </si>
  <si>
    <t>Bi-Annual Conference for Key Funtionaries of Local Governments in Nigeria</t>
  </si>
  <si>
    <t>F503010000</t>
  </si>
  <si>
    <t>Quarterly Meetings of the Local Government with LG Chairmen</t>
  </si>
  <si>
    <t>Subvention to 3 Zonal Offices</t>
  </si>
  <si>
    <t>Regular Overhead, Direcorate of Local Govt.</t>
  </si>
  <si>
    <t>Total: Directorate of Local Government Affairs</t>
  </si>
  <si>
    <t>0504000000:  Ministry of Environment</t>
  </si>
  <si>
    <t>Environmental Sensitization Campaign</t>
  </si>
  <si>
    <t>00090000010104</t>
  </si>
  <si>
    <t>World Environment Day Activities</t>
  </si>
  <si>
    <t>Implementation of National Environmental Sanitation Policy and Programme in the State</t>
  </si>
  <si>
    <t xml:space="preserve">Special Overhead, Beautification </t>
  </si>
  <si>
    <t>Regular Overhead, Min. of Environment</t>
  </si>
  <si>
    <t>Total, Ministry of Environment</t>
  </si>
  <si>
    <t>Regular Overhead, Department of Environmental Conservation</t>
  </si>
  <si>
    <t>Solid waste/refuse clearing and street sweeping</t>
  </si>
  <si>
    <t xml:space="preserve">Regular Overhead, Delta State Waste Management Board </t>
  </si>
  <si>
    <t>F504010600</t>
  </si>
  <si>
    <t>State/National Sports Competitions</t>
  </si>
  <si>
    <t>70810</t>
  </si>
  <si>
    <t>State/National Sports Festival</t>
  </si>
  <si>
    <t>Zonal Eliminations(Natoinal Zone II)</t>
  </si>
  <si>
    <t>Insurance for Athletes/Facilities</t>
  </si>
  <si>
    <t>Grants to Delta United</t>
  </si>
  <si>
    <t>Grants to Delta Queens</t>
  </si>
  <si>
    <t>Grants to Other  Football Clubs</t>
  </si>
  <si>
    <t>Grants to Associations</t>
  </si>
  <si>
    <t>Hosting/Award to Victorious Athletes and Officials</t>
  </si>
  <si>
    <t>Nigerian Premier League for Basket Ball</t>
  </si>
  <si>
    <t>Sports Monitoring and Evaluation</t>
  </si>
  <si>
    <t>Grants to Warri Wolfes</t>
  </si>
  <si>
    <t>Grants to Ibori Golf and Country Club</t>
  </si>
  <si>
    <t>National Council for Sports, Conferences and other Meetings</t>
  </si>
  <si>
    <t>Hosting of Warri Relays</t>
  </si>
  <si>
    <t>Under-16 Elite league</t>
  </si>
  <si>
    <t>Delta Football league</t>
  </si>
  <si>
    <t>Grant to Delta State Atletic Association</t>
  </si>
  <si>
    <t>African Athletic Compitition</t>
  </si>
  <si>
    <t>Regular Overhead, Delta State Sports Commission</t>
  </si>
  <si>
    <t>Total, Delta State Sports Commission</t>
  </si>
  <si>
    <t>Sports, Physical &amp; Health Education</t>
  </si>
  <si>
    <t>Primary School Exam</t>
  </si>
  <si>
    <t>00050000010105</t>
  </si>
  <si>
    <t>Grade II Teachers' Exam</t>
  </si>
  <si>
    <t>JSS Certificate Exam</t>
  </si>
  <si>
    <t>00050000010107</t>
  </si>
  <si>
    <t>Promotion Exams SS I &amp; II</t>
  </si>
  <si>
    <t>Promotion Exams JSS I, II &amp; III</t>
  </si>
  <si>
    <t>Enrolment Fees and Incidental Cost Payable by SSIII Students in Public Senior Secondary and Technical Schools in the State.</t>
  </si>
  <si>
    <t>00050000010106</t>
  </si>
  <si>
    <t>JETS</t>
  </si>
  <si>
    <t>Inspectorate</t>
  </si>
  <si>
    <t>00050000010110</t>
  </si>
  <si>
    <t>Educational Research Centre</t>
  </si>
  <si>
    <t>00050000010104</t>
  </si>
  <si>
    <t>National Council Meetings (Hosting)</t>
  </si>
  <si>
    <t>Home Economics</t>
  </si>
  <si>
    <t>Monitoring of Exams/Awards</t>
  </si>
  <si>
    <t>00050000010109</t>
  </si>
  <si>
    <t>Conduct of 1st &amp; 2nd term examinations</t>
  </si>
  <si>
    <t>Development of Research and Statistics</t>
  </si>
  <si>
    <t>00050000020102</t>
  </si>
  <si>
    <t>Capacity building for Secondary School Teachers</t>
  </si>
  <si>
    <t>00050000020103</t>
  </si>
  <si>
    <t>School Sports</t>
  </si>
  <si>
    <t>Intervention for Special Need Learners</t>
  </si>
  <si>
    <t>00070000010109</t>
  </si>
  <si>
    <t>Intervention for Gifted Learners</t>
  </si>
  <si>
    <t>Public Private Partnership</t>
  </si>
  <si>
    <t>00120000010102</t>
  </si>
  <si>
    <t>Special Intervention for Early Childhood Care and Development (ECCDE)</t>
  </si>
  <si>
    <t>00070000010107</t>
  </si>
  <si>
    <t>Advocacy on School Vandalism, security and Disaster Risk Management</t>
  </si>
  <si>
    <t>Annual Teachers Award</t>
  </si>
  <si>
    <t>00050000010108</t>
  </si>
  <si>
    <t>Ministry of Basic and Secondary Education Cont'd</t>
  </si>
  <si>
    <t>Education Management Information System/National School Center</t>
  </si>
  <si>
    <t>Workshop/Printing of Schemes of Work for pri 1-6, Jss1 - JSS3</t>
  </si>
  <si>
    <t>Maintenance of Internet Services/Subscription</t>
  </si>
  <si>
    <t>Monitoring &amp;Evaluation of Educational programme</t>
  </si>
  <si>
    <t>Stipends for Adult Education /Instructors and Facilitators</t>
  </si>
  <si>
    <t>Office stationaries Consumables</t>
  </si>
  <si>
    <t>ICCE</t>
  </si>
  <si>
    <t>Subventions to Post Primary Schools in lieu of Sch Dev Levy</t>
  </si>
  <si>
    <t>F506011300</t>
  </si>
  <si>
    <t>Regular Overhead, Min of Basic &amp; Secondary Education</t>
  </si>
  <si>
    <t xml:space="preserve">Regular Overheads, Model Schools </t>
  </si>
  <si>
    <t>F506011400</t>
  </si>
  <si>
    <t>Total, Ministry of Basic and Secondary Education</t>
  </si>
  <si>
    <t>0506011000: Agency for Adult &amp; Non-Formal Education</t>
  </si>
  <si>
    <t>Special Overhead, Agency for Adult &amp; Non-Formal Education</t>
  </si>
  <si>
    <t>F506011000</t>
  </si>
  <si>
    <t>Regular Overhead, Agency for Adult &amp; Non-Formal Education</t>
  </si>
  <si>
    <t>0506010700: Science, Vocational and Technical Education</t>
  </si>
  <si>
    <t>Special Overhead, State Science, Vocational Educational Board</t>
  </si>
  <si>
    <t>F506010700</t>
  </si>
  <si>
    <t>Regular Overhead, State Science, Vocational Educational Board</t>
  </si>
  <si>
    <t>Special Overhead, SUBEB</t>
  </si>
  <si>
    <t>F506011200</t>
  </si>
  <si>
    <t>70912</t>
  </si>
  <si>
    <t>Regular Overhead, SUBEB</t>
  </si>
  <si>
    <t>Special Overhead, PPEB</t>
  </si>
  <si>
    <t>Regular Overhead, PPEB</t>
  </si>
  <si>
    <t>0506011301: PPEB Zonal Offices</t>
  </si>
  <si>
    <t>Regular Overhead, PPEB Zonal Offices</t>
  </si>
  <si>
    <t>F506011301</t>
  </si>
  <si>
    <t>0506011500: French Language School</t>
  </si>
  <si>
    <t>Special Overhead, French Language School</t>
  </si>
  <si>
    <t>Regular Overhead, French Language School</t>
  </si>
  <si>
    <t>Special Overhead, Institute of Continuing Edu. Asaba.</t>
  </si>
  <si>
    <t>Regular Overhead, Institute of Continuing Edu. Asaba.</t>
  </si>
  <si>
    <t>National Council &amp; other Meetings/ JCCE</t>
  </si>
  <si>
    <t>Internet Bandwidth Rentals for the Ministry of Higher Education, Asaba</t>
  </si>
  <si>
    <t>Regular Overhead, Min of Higher Education</t>
  </si>
  <si>
    <t>Research Grant and Publication</t>
  </si>
  <si>
    <t>F507010701</t>
  </si>
  <si>
    <t>Accreditation</t>
  </si>
  <si>
    <t>00050000020101</t>
  </si>
  <si>
    <t>Convocation</t>
  </si>
  <si>
    <t>Regular Overhead, Delta State University</t>
  </si>
  <si>
    <t>F5070107CA</t>
  </si>
  <si>
    <t xml:space="preserve">Regular Overhead, College of Education Warri </t>
  </si>
  <si>
    <t>F5070107CB</t>
  </si>
  <si>
    <t>Regular Overhead - College of Education, Agbor</t>
  </si>
  <si>
    <t>F5070107BA</t>
  </si>
  <si>
    <t>Regular Overhead, Delta State Polytechnic, Ozoro</t>
  </si>
  <si>
    <t>F5070107CC</t>
  </si>
  <si>
    <t>Regular Overhead, College of Education, Mosogar</t>
  </si>
  <si>
    <t>F5070107BC</t>
  </si>
  <si>
    <t>Reguar Overhead, Delta State Polytechnic, Oghara</t>
  </si>
  <si>
    <t>F5070107BB</t>
  </si>
  <si>
    <t>Regular Overhead, Delta State Polytechnic, Ogwashi-Uku</t>
  </si>
  <si>
    <t>Students Special Assistance Scheme(Bursaries)</t>
  </si>
  <si>
    <t>F507010900</t>
  </si>
  <si>
    <t>Bursary for Law Students</t>
  </si>
  <si>
    <t>Scholarship (Internal)</t>
  </si>
  <si>
    <t>Scholarship (External )</t>
  </si>
  <si>
    <t>Scholarship for Children of Deceased Civil Servants/Physically Handicapped Students</t>
  </si>
  <si>
    <t>First Class Scholarship Scheme</t>
  </si>
  <si>
    <t>Special Overhead, Scholarship Board</t>
  </si>
  <si>
    <t>Regular Overhead, Scholarship Board</t>
  </si>
  <si>
    <t>Regular Overhead, State Library Board</t>
  </si>
  <si>
    <t>F507011000</t>
  </si>
  <si>
    <t>0508000000:  Min of Health</t>
  </si>
  <si>
    <t>National Council on Health &amp; Other Meetings</t>
  </si>
  <si>
    <t>Govt. Assistance for Medical Treatment</t>
  </si>
  <si>
    <t>00040000010106</t>
  </si>
  <si>
    <t>Continuing Professional Education for Health Workers</t>
  </si>
  <si>
    <t>00040000010105</t>
  </si>
  <si>
    <t>Disease Control/HIV/aids Treatment Centres</t>
  </si>
  <si>
    <t>00040000020106</t>
  </si>
  <si>
    <t>Monitoring of Projects and Programmes</t>
  </si>
  <si>
    <t>00040000020107</t>
  </si>
  <si>
    <t>Delta State Specialist Hospital, Oghara</t>
  </si>
  <si>
    <t xml:space="preserve">Regular Overhead, Min  of Health </t>
  </si>
  <si>
    <t>Special Overhead, Hospital Management Board/Zonal Offices.</t>
  </si>
  <si>
    <t>F508010402</t>
  </si>
  <si>
    <t>Hospital Management Board/ Zonal Offices.</t>
  </si>
  <si>
    <t>0508010501: Traditional Medicine Board</t>
  </si>
  <si>
    <t>Regular Overhead, Traditional Medicine Board</t>
  </si>
  <si>
    <t>F508010501</t>
  </si>
  <si>
    <t>05080106AA: School of Nursing, Warri</t>
  </si>
  <si>
    <t>Regular Overhead, School of Nursing, Warri</t>
  </si>
  <si>
    <t>F5080106AA</t>
  </si>
  <si>
    <t>05080106AB: School of Nursing, Agbor</t>
  </si>
  <si>
    <t>Regular Overhead, School of Nursing, Agbor</t>
  </si>
  <si>
    <t>F5080106AB</t>
  </si>
  <si>
    <t>05080106AC: School of Nursing, Eku</t>
  </si>
  <si>
    <t>Regular Overhead, School of Nursing, Eku</t>
  </si>
  <si>
    <t>F5080106AC</t>
  </si>
  <si>
    <t>05080106BA: State School of Midwifery, Asaba</t>
  </si>
  <si>
    <t>Regular Overhead, State School of Midwifery, Asaba</t>
  </si>
  <si>
    <t>F5080106BA</t>
  </si>
  <si>
    <t>05080106BB: State School of Midwifery, Sapele</t>
  </si>
  <si>
    <t>Regular Overhead, State School of Midwifery, Sapele</t>
  </si>
  <si>
    <t>F5080106BB</t>
  </si>
  <si>
    <t>0508010801: State School of Health Technology, Ughelli</t>
  </si>
  <si>
    <t>Regular Overhead, State School of Health Technology, Ughelli</t>
  </si>
  <si>
    <t>F508010801</t>
  </si>
  <si>
    <t>Logistics for Management Activities of the integration of Health Diseases Programmes Supply Chains (NSCIP)</t>
  </si>
  <si>
    <t>F508010700</t>
  </si>
  <si>
    <t>E-Health Activities</t>
  </si>
  <si>
    <t>00040000010102</t>
  </si>
  <si>
    <t>Control of Drug Abuse Activities</t>
  </si>
  <si>
    <t>00040000010115</t>
  </si>
  <si>
    <t>School Health Programme</t>
  </si>
  <si>
    <t>Logistic Management Control Unit (LMCU)</t>
  </si>
  <si>
    <t>TB Control Activities</t>
  </si>
  <si>
    <t>Malaria Control Activities</t>
  </si>
  <si>
    <t>Family Planning Activities</t>
  </si>
  <si>
    <t>00040000010109</t>
  </si>
  <si>
    <t>Monitoring and Evaluation (M &amp; E) of Health Care Activities</t>
  </si>
  <si>
    <t>Regular Overhead, State Primary Health Care Dev. Agency</t>
  </si>
  <si>
    <t xml:space="preserve">Total </t>
  </si>
  <si>
    <t>0508010900: State Action Committee on AIDS (SACA)</t>
  </si>
  <si>
    <t>F508010900</t>
  </si>
  <si>
    <t>0509000000:  Min. of Women Affairs and Social Development</t>
  </si>
  <si>
    <t>Conferences,Seminars and other meetings</t>
  </si>
  <si>
    <t xml:space="preserve">Commissioner's Complex, HQ </t>
  </si>
  <si>
    <t>Headquateer and outstation</t>
  </si>
  <si>
    <t>Headquateer Vehicles and bus</t>
  </si>
  <si>
    <t>Commissioner's Complex, HQ and outs</t>
  </si>
  <si>
    <t>Nigeria Children Trust Fund/Child</t>
  </si>
  <si>
    <t>00070000010111</t>
  </si>
  <si>
    <t>Day of the African Child Celebration</t>
  </si>
  <si>
    <t>Nigeria Children /Youth Day</t>
  </si>
  <si>
    <t xml:space="preserve">International Women Day Celebration </t>
  </si>
  <si>
    <t xml:space="preserve"> Min. of Women Affairs and Social Development Cont'd</t>
  </si>
  <si>
    <t>Rehabilitation of Leprosy Patients</t>
  </si>
  <si>
    <t>00070000010108</t>
  </si>
  <si>
    <t>Maintenance of Destitutes</t>
  </si>
  <si>
    <t>00070000010106</t>
  </si>
  <si>
    <t>International  Day of the Elderly</t>
  </si>
  <si>
    <t>Grant to Social Welfare Institutions</t>
  </si>
  <si>
    <t>Int. Day for Disabled/Handicapped</t>
  </si>
  <si>
    <t>Running of Juvenile Courts</t>
  </si>
  <si>
    <t>NACHI-FEST/DELCHI-FEST</t>
  </si>
  <si>
    <t>Maintenance of Children Home,Asaba</t>
  </si>
  <si>
    <t>National Day Celebration</t>
  </si>
  <si>
    <t>National Council Meeting</t>
  </si>
  <si>
    <t>Rehabilitation and Care of Handicapped</t>
  </si>
  <si>
    <t>Centre for Community, Otorho-Abraka</t>
  </si>
  <si>
    <t>Citenzenship and Leadership Training Centre, Ewulu</t>
  </si>
  <si>
    <t>National Council of Women Society</t>
  </si>
  <si>
    <t>Grants to Widows with HIV/AIDS</t>
  </si>
  <si>
    <t>00040000020105</t>
  </si>
  <si>
    <t>Grant to School for Handicapped, Asaba</t>
  </si>
  <si>
    <t>Women Development Centre, Agbarho</t>
  </si>
  <si>
    <t>School for Handicapped Children</t>
  </si>
  <si>
    <t xml:space="preserve">Orphans and Vulnerable Children support </t>
  </si>
  <si>
    <t>Remand Home</t>
  </si>
  <si>
    <t>Co-ordination of the Activities of the Persons with Disability in Delta State</t>
  </si>
  <si>
    <t>F509010001</t>
  </si>
  <si>
    <t>Total Overhead Cost - Min. of Women Affairs and Social Development</t>
  </si>
  <si>
    <t>Non-Regular Overhead</t>
  </si>
  <si>
    <t>Total Overhead Cost, Ministry of Technical Education</t>
  </si>
  <si>
    <t>TOTAL OVERHEAD COST SOCIAL SECTOR</t>
  </si>
  <si>
    <t>TOTAL OVERHEAD COSTS</t>
  </si>
  <si>
    <t>Overhead Costs / Consolidated Revenue Fund Charges</t>
  </si>
  <si>
    <r>
      <rPr>
        <b/>
        <sz val="12"/>
        <rFont val="Arial"/>
        <family val="2"/>
      </rPr>
      <t>HCSD</t>
    </r>
    <r>
      <rPr>
        <sz val="12"/>
        <rFont val="Arial"/>
        <family val="2"/>
      </rPr>
      <t>, Government House (Non-Regular Overhead)</t>
    </r>
  </si>
  <si>
    <r>
      <rPr>
        <b/>
        <sz val="12"/>
        <rFont val="Arial"/>
        <family val="2"/>
      </rPr>
      <t>HCSD</t>
    </r>
    <r>
      <rPr>
        <sz val="12"/>
        <rFont val="Arial"/>
        <family val="2"/>
      </rPr>
      <t>, Government House (Regular Overhead)</t>
    </r>
  </si>
  <si>
    <t>National Festival for Arts and Culture</t>
  </si>
  <si>
    <t>National Cultural Carnival</t>
  </si>
  <si>
    <t>Total Overhead Cost, Delta State Council of Arts and Culture</t>
  </si>
  <si>
    <t>Capacity Building (Travel and Transport)</t>
  </si>
  <si>
    <t xml:space="preserve"> Audit Review</t>
  </si>
  <si>
    <t>Election Matters</t>
  </si>
  <si>
    <t>Assembly Budget Committee</t>
  </si>
  <si>
    <t>Annual Budget Preparation for Appropriation Office</t>
  </si>
  <si>
    <t>APPROVED  PROVISION 2020</t>
  </si>
  <si>
    <t>APPROVED PROVISION 2020</t>
  </si>
  <si>
    <t>APPROVED ESTIMATES 2020</t>
  </si>
  <si>
    <t>APPROVED PERSONNEL COST PROVISION 2020</t>
  </si>
  <si>
    <t xml:space="preserve">APPROVED OVERHEAD COST (REGULAR PLUS NON-REGULAR) PROVISION 2020 </t>
  </si>
  <si>
    <t>Approved Provision 2020</t>
  </si>
  <si>
    <t>State Portfolio Aid Coordination Mechanism</t>
  </si>
  <si>
    <t xml:space="preserve"> YEAR 2020 APPROVED BUDGET SUMMARY</t>
  </si>
  <si>
    <t>YEAR 2020 APPROVED RECURRENT REVENUE SUMMARY</t>
  </si>
  <si>
    <t>YEAR 2020 APPROVED REVENUE BUDGET</t>
  </si>
  <si>
    <t>11010201</t>
  </si>
  <si>
    <t>12010101</t>
  </si>
  <si>
    <t>12010102</t>
  </si>
  <si>
    <t>12010104</t>
  </si>
  <si>
    <t>12010106</t>
  </si>
  <si>
    <t>12010107</t>
  </si>
  <si>
    <t>12010206</t>
  </si>
  <si>
    <t>12010203</t>
  </si>
  <si>
    <t>12010215</t>
  </si>
  <si>
    <t>12010204</t>
  </si>
  <si>
    <t>12010205</t>
  </si>
  <si>
    <t>12020116</t>
  </si>
  <si>
    <t>12020118</t>
  </si>
  <si>
    <t>12020119</t>
  </si>
  <si>
    <t>12020141</t>
  </si>
  <si>
    <t>12020617</t>
  </si>
  <si>
    <t>12020103</t>
  </si>
  <si>
    <t>12020406</t>
  </si>
  <si>
    <t>12020115</t>
  </si>
  <si>
    <t>12020130</t>
  </si>
  <si>
    <t>12020427</t>
  </si>
  <si>
    <t>12020908</t>
  </si>
  <si>
    <t>12020122</t>
  </si>
  <si>
    <t>12020147</t>
  </si>
  <si>
    <t>12020120</t>
  </si>
  <si>
    <t>12020153</t>
  </si>
  <si>
    <t>12020151</t>
  </si>
  <si>
    <t>12020148</t>
  </si>
  <si>
    <t>12020121</t>
  </si>
  <si>
    <t>12020152</t>
  </si>
  <si>
    <t>12020146</t>
  </si>
  <si>
    <t>12020131</t>
  </si>
  <si>
    <t>12020132</t>
  </si>
  <si>
    <t>12020140</t>
  </si>
  <si>
    <t>12020139</t>
  </si>
  <si>
    <t>12020138</t>
  </si>
  <si>
    <t>12020145</t>
  </si>
  <si>
    <t>12020422</t>
  </si>
  <si>
    <t>12020149</t>
  </si>
  <si>
    <t>12020150</t>
  </si>
  <si>
    <t>12020418</t>
  </si>
  <si>
    <t>12020415</t>
  </si>
  <si>
    <t>12020419</t>
  </si>
  <si>
    <t>12020416</t>
  </si>
  <si>
    <t>12020901</t>
  </si>
  <si>
    <t>12020440</t>
  </si>
  <si>
    <t>12020429</t>
  </si>
  <si>
    <t>12020425</t>
  </si>
  <si>
    <t>12020441</t>
  </si>
  <si>
    <t>12020420</t>
  </si>
  <si>
    <t>12020413</t>
  </si>
  <si>
    <t>12020411</t>
  </si>
  <si>
    <t>12020414</t>
  </si>
  <si>
    <t>12020403</t>
  </si>
  <si>
    <t>12020409</t>
  </si>
  <si>
    <t>12020410</t>
  </si>
  <si>
    <t>12020412</t>
  </si>
  <si>
    <t>12020430</t>
  </si>
  <si>
    <t>12020431</t>
  </si>
  <si>
    <t>12020433</t>
  </si>
  <si>
    <t>12020434</t>
  </si>
  <si>
    <t>12020435</t>
  </si>
  <si>
    <t>12020439</t>
  </si>
  <si>
    <t>12020444</t>
  </si>
  <si>
    <t>12020424</t>
  </si>
  <si>
    <t>12020432</t>
  </si>
  <si>
    <t>12020421</t>
  </si>
  <si>
    <t>12020404</t>
  </si>
  <si>
    <t>12020426</t>
  </si>
  <si>
    <t>12020423</t>
  </si>
  <si>
    <t>12020443</t>
  </si>
  <si>
    <t>12020448</t>
  </si>
  <si>
    <t>12020503</t>
  </si>
  <si>
    <t>12020507</t>
  </si>
  <si>
    <t>12020506</t>
  </si>
  <si>
    <t>12020505</t>
  </si>
  <si>
    <t>12020612</t>
  </si>
  <si>
    <t>12020611</t>
  </si>
  <si>
    <t>12020605</t>
  </si>
  <si>
    <t>12020608</t>
  </si>
  <si>
    <t>12020607</t>
  </si>
  <si>
    <t>12020615</t>
  </si>
  <si>
    <t>12020616</t>
  </si>
  <si>
    <t>12020609</t>
  </si>
  <si>
    <t>12020721</t>
  </si>
  <si>
    <t>12020715</t>
  </si>
  <si>
    <t>12020701</t>
  </si>
  <si>
    <t>12020702</t>
  </si>
  <si>
    <t>12020703</t>
  </si>
  <si>
    <t>12020716</t>
  </si>
  <si>
    <t>12020712</t>
  </si>
  <si>
    <t>12020713</t>
  </si>
  <si>
    <t>12020801</t>
  </si>
  <si>
    <t>12020720</t>
  </si>
  <si>
    <t>12020807</t>
  </si>
  <si>
    <t>12020907</t>
  </si>
  <si>
    <t>12020918</t>
  </si>
  <si>
    <t>12020921</t>
  </si>
  <si>
    <t>12020906</t>
  </si>
  <si>
    <t>12021001</t>
  </si>
  <si>
    <t>12021008</t>
  </si>
  <si>
    <t>12021002</t>
  </si>
  <si>
    <t>12021102</t>
  </si>
  <si>
    <t>12021210</t>
  </si>
  <si>
    <t>12021420</t>
  </si>
  <si>
    <t>12021404</t>
  </si>
  <si>
    <t>12021409</t>
  </si>
  <si>
    <t>0101010800</t>
  </si>
  <si>
    <t>0101010516</t>
  </si>
  <si>
    <t>0101010900</t>
  </si>
  <si>
    <t>0119010000</t>
  </si>
  <si>
    <t>0402010000</t>
  </si>
  <si>
    <t>0101010600</t>
  </si>
  <si>
    <t>0101010511</t>
  </si>
  <si>
    <t>0101010506</t>
  </si>
  <si>
    <t>0101011100</t>
  </si>
  <si>
    <t>0101011000</t>
  </si>
  <si>
    <t>0101010700</t>
  </si>
  <si>
    <t>0102010000</t>
  </si>
  <si>
    <t>0101010000</t>
  </si>
  <si>
    <t>0104010000</t>
  </si>
  <si>
    <t>0104010304</t>
  </si>
  <si>
    <t>0104010301</t>
  </si>
  <si>
    <t>0104010307</t>
  </si>
  <si>
    <t>0104011100</t>
  </si>
  <si>
    <t>0104010700</t>
  </si>
  <si>
    <t>0104010900</t>
  </si>
  <si>
    <t>0105010000</t>
  </si>
  <si>
    <t>0106010000</t>
  </si>
  <si>
    <t>0107010000</t>
  </si>
  <si>
    <t>0108010000</t>
  </si>
  <si>
    <t>0109010000</t>
  </si>
  <si>
    <t>0110010000</t>
  </si>
  <si>
    <t>0111010000</t>
  </si>
  <si>
    <t>0112010000</t>
  </si>
  <si>
    <t>0116010000</t>
  </si>
  <si>
    <t>0117010000</t>
  </si>
  <si>
    <t>0118010000</t>
  </si>
  <si>
    <t>0201010000</t>
  </si>
  <si>
    <t>0202010000</t>
  </si>
  <si>
    <t>0203010000</t>
  </si>
  <si>
    <t>0204010000</t>
  </si>
  <si>
    <t>0205010000</t>
  </si>
  <si>
    <t>0206010000</t>
  </si>
  <si>
    <t>0207010000</t>
  </si>
  <si>
    <t>0208010000</t>
  </si>
  <si>
    <t>0209010000</t>
  </si>
  <si>
    <t>0210010000</t>
  </si>
  <si>
    <t>0211010000</t>
  </si>
  <si>
    <t>0212010000</t>
  </si>
  <si>
    <t>0213010000</t>
  </si>
  <si>
    <t>0214010000</t>
  </si>
  <si>
    <t>0215010000</t>
  </si>
  <si>
    <t>0216010000</t>
  </si>
  <si>
    <t>0217010000</t>
  </si>
  <si>
    <t>0301010000</t>
  </si>
  <si>
    <t>0302010000</t>
  </si>
  <si>
    <t>0302010900</t>
  </si>
  <si>
    <t>0303010000</t>
  </si>
  <si>
    <t>0304010000</t>
  </si>
  <si>
    <t>0401010000</t>
  </si>
  <si>
    <t>0501010000</t>
  </si>
  <si>
    <t>0403010000</t>
  </si>
  <si>
    <t>0502010000</t>
  </si>
  <si>
    <t>0503010000</t>
  </si>
  <si>
    <t>0504010000</t>
  </si>
  <si>
    <t>0506010000</t>
  </si>
  <si>
    <t>0505010000</t>
  </si>
  <si>
    <t>0511010000</t>
  </si>
  <si>
    <t>0507010000</t>
  </si>
  <si>
    <t>0508010000</t>
  </si>
  <si>
    <t>0508010403</t>
  </si>
  <si>
    <t>0509010000</t>
  </si>
  <si>
    <t xml:space="preserve"> 0212010000</t>
  </si>
  <si>
    <t>11010303</t>
  </si>
  <si>
    <t>F101010900</t>
  </si>
  <si>
    <t>F101010800</t>
  </si>
  <si>
    <t>F101011100</t>
  </si>
  <si>
    <t>F101010502</t>
  </si>
  <si>
    <t>F101011000</t>
  </si>
  <si>
    <t>F101010516</t>
  </si>
  <si>
    <t>F101010520</t>
  </si>
  <si>
    <t>F101010521</t>
  </si>
  <si>
    <t>F101010514</t>
  </si>
  <si>
    <t>F101010700</t>
  </si>
  <si>
    <t>F101010600</t>
  </si>
  <si>
    <t>F101010504</t>
  </si>
  <si>
    <t>F101010507</t>
  </si>
  <si>
    <t>F101010511</t>
  </si>
  <si>
    <t>F101010522</t>
  </si>
  <si>
    <t>F101010506</t>
  </si>
  <si>
    <t>F101010513</t>
  </si>
  <si>
    <t>F101010503</t>
  </si>
  <si>
    <t>F101010523</t>
  </si>
  <si>
    <t>F101010524</t>
  </si>
  <si>
    <t>F101010518</t>
  </si>
  <si>
    <t>F102010800</t>
  </si>
  <si>
    <t>F102010902</t>
  </si>
  <si>
    <t>F102011000</t>
  </si>
  <si>
    <t>F201010601</t>
  </si>
  <si>
    <t>F403010000</t>
  </si>
  <si>
    <t>F511010000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</si>
</sst>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#,##0;[Red]#,##0"/>
    <numFmt numFmtId="166" formatCode="#,##0.00;[Red]#,##0.00"/>
    <numFmt numFmtId="167" formatCode="_(* #,##0_);_(* \(#,##0\);_(* &quot;-&quot;??_);_(@_)"/>
    <numFmt numFmtId="168" formatCode="_-* #,##0_-;\-* #,##0_-;_-* &quot;-&quot;??_-;_-@_-"/>
  </numFmts>
  <fonts count="7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20"/>
      <color rgb="FFFFFF00"/>
      <name val="Arial"/>
      <family val="2"/>
    </font>
    <font>
      <sz val="22"/>
      <color rgb="FFFFFF00"/>
      <name val="Arial"/>
      <family val="2"/>
    </font>
    <font>
      <sz val="18"/>
      <color rgb="FFFFFF0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color rgb="FFFFFF00"/>
      <name val="Arial"/>
      <family val="2"/>
    </font>
    <font>
      <b/>
      <sz val="22"/>
      <color rgb="FFFFFF00"/>
      <name val="Arial"/>
      <family val="2"/>
    </font>
    <font>
      <b/>
      <sz val="18"/>
      <color rgb="FFFFFF00"/>
      <name val="Arial"/>
      <family val="2"/>
    </font>
    <font>
      <sz val="18"/>
      <color rgb="FFC00000"/>
      <name val="Arial"/>
      <family val="2"/>
    </font>
    <font>
      <b/>
      <sz val="18"/>
      <name val="Arial"/>
      <family val="2"/>
    </font>
    <font>
      <b/>
      <sz val="20"/>
      <color indexed="8"/>
      <name val="Arial"/>
      <family val="2"/>
    </font>
    <font>
      <b/>
      <sz val="18"/>
      <color rgb="FFC00000"/>
      <name val="Arial"/>
      <family val="2"/>
    </font>
    <font>
      <sz val="22"/>
      <name val="Arial"/>
      <family val="2"/>
    </font>
    <font>
      <b/>
      <sz val="20"/>
      <color rgb="FFC0000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8"/>
      <name val="Arial Black"/>
      <family val="2"/>
    </font>
    <font>
      <b/>
      <sz val="14"/>
      <color indexed="8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color rgb="FFFFFF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2"/>
      <color theme="0"/>
      <name val="Arial"/>
      <family val="2"/>
    </font>
    <font>
      <sz val="11"/>
      <color rgb="FFFFFF00"/>
      <name val="Calibri"/>
      <family val="2"/>
      <scheme val="minor"/>
    </font>
    <font>
      <b/>
      <sz val="14"/>
      <color rgb="FFFFFF00"/>
      <name val="Arial"/>
      <family val="2"/>
    </font>
    <font>
      <b/>
      <sz val="11"/>
      <color rgb="FFFFFF00"/>
      <name val="Arial"/>
      <family val="2"/>
    </font>
    <font>
      <sz val="11"/>
      <color rgb="FFFFFF00"/>
      <name val="Arial"/>
      <family val="2"/>
    </font>
    <font>
      <sz val="11"/>
      <color rgb="FFFFFF00"/>
      <name val="Times New Roman"/>
      <family val="1"/>
    </font>
    <font>
      <sz val="14"/>
      <color theme="1"/>
      <name val="Calibri"/>
      <family val="2"/>
      <scheme val="minor"/>
    </font>
    <font>
      <sz val="10"/>
      <color rgb="FFFFFF00"/>
      <name val="Arial"/>
      <family val="2"/>
    </font>
    <font>
      <sz val="10"/>
      <color theme="1"/>
      <name val="Arial"/>
      <family val="2"/>
    </font>
    <font>
      <b/>
      <sz val="10"/>
      <color rgb="FFFFFF00"/>
      <name val="Arial"/>
      <family val="2"/>
    </font>
    <font>
      <sz val="14"/>
      <color theme="1"/>
      <name val="Arial Black"/>
      <family val="2"/>
    </font>
    <font>
      <sz val="11"/>
      <name val="Arial"/>
      <family val="2"/>
    </font>
    <font>
      <b/>
      <sz val="14"/>
      <color rgb="FF000000"/>
      <name val="Arial Black"/>
      <family val="2"/>
    </font>
    <font>
      <sz val="14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FF00"/>
      <name val="Calibri"/>
      <family val="2"/>
      <scheme val="minor"/>
    </font>
    <font>
      <sz val="10"/>
      <color rgb="FFFFFF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FF00"/>
      <name val="Arial Black"/>
      <family val="2"/>
    </font>
    <font>
      <sz val="12"/>
      <name val="Arial Black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Arial Black"/>
      <family val="2"/>
    </font>
    <font>
      <b/>
      <sz val="12"/>
      <name val="Arial Black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3">
    <xf numFmtId="0" fontId="0" fillId="0" borderId="0">
      <alignment wrapText="1"/>
    </xf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 wrapText="1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>
      <alignment wrapText="1"/>
    </xf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981">
    <xf numFmtId="0" fontId="0" fillId="0" borderId="0" xfId="0">
      <alignment wrapText="1"/>
    </xf>
    <xf numFmtId="3" fontId="6" fillId="0" borderId="0" xfId="0" applyNumberFormat="1" applyFont="1" applyFill="1" applyBorder="1">
      <alignment wrapText="1"/>
    </xf>
    <xf numFmtId="0" fontId="7" fillId="0" borderId="0" xfId="0" applyFont="1" applyBorder="1">
      <alignment wrapText="1"/>
    </xf>
    <xf numFmtId="0" fontId="8" fillId="0" borderId="0" xfId="0" applyFont="1" applyBorder="1">
      <alignment wrapText="1"/>
    </xf>
    <xf numFmtId="0" fontId="9" fillId="0" borderId="0" xfId="0" applyFont="1" applyBorder="1">
      <alignment wrapText="1"/>
    </xf>
    <xf numFmtId="0" fontId="9" fillId="0" borderId="0" xfId="0" applyFont="1">
      <alignment wrapText="1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3" fontId="10" fillId="0" borderId="1" xfId="2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right" wrapText="1"/>
    </xf>
    <xf numFmtId="43" fontId="10" fillId="0" borderId="1" xfId="2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left" wrapText="1"/>
    </xf>
    <xf numFmtId="165" fontId="10" fillId="0" borderId="1" xfId="0" applyNumberFormat="1" applyFont="1" applyFill="1" applyBorder="1" applyAlignment="1">
      <alignment horizontal="right" wrapText="1"/>
    </xf>
    <xf numFmtId="166" fontId="10" fillId="0" borderId="1" xfId="0" applyNumberFormat="1" applyFont="1" applyFill="1" applyBorder="1" applyAlignment="1">
      <alignment horizontal="right" wrapText="1"/>
    </xf>
    <xf numFmtId="165" fontId="10" fillId="0" borderId="2" xfId="0" applyNumberFormat="1" applyFont="1" applyFill="1" applyBorder="1" applyAlignment="1">
      <alignment horizontal="right" wrapText="1"/>
    </xf>
    <xf numFmtId="167" fontId="10" fillId="0" borderId="1" xfId="2" applyNumberFormat="1" applyFont="1" applyFill="1" applyBorder="1" applyAlignment="1">
      <alignment horizontal="right" wrapText="1"/>
    </xf>
    <xf numFmtId="164" fontId="10" fillId="0" borderId="1" xfId="1" applyFont="1" applyFill="1" applyBorder="1" applyAlignment="1">
      <alignment horizontal="right" wrapText="1"/>
    </xf>
    <xf numFmtId="168" fontId="10" fillId="0" borderId="1" xfId="1" applyNumberFormat="1" applyFont="1" applyFill="1" applyBorder="1" applyAlignment="1">
      <alignment horizontal="right" wrapText="1"/>
    </xf>
    <xf numFmtId="165" fontId="7" fillId="0" borderId="0" xfId="0" applyNumberFormat="1" applyFont="1" applyBorder="1">
      <alignment wrapText="1"/>
    </xf>
    <xf numFmtId="165" fontId="8" fillId="0" borderId="0" xfId="0" applyNumberFormat="1" applyFont="1" applyBorder="1">
      <alignment wrapText="1"/>
    </xf>
    <xf numFmtId="166" fontId="10" fillId="0" borderId="2" xfId="0" applyNumberFormat="1" applyFont="1" applyFill="1" applyBorder="1" applyAlignment="1">
      <alignment horizontal="right" wrapText="1"/>
    </xf>
    <xf numFmtId="167" fontId="10" fillId="0" borderId="1" xfId="2" applyNumberFormat="1" applyFont="1" applyFill="1" applyBorder="1" applyAlignment="1">
      <alignment horizontal="right"/>
    </xf>
    <xf numFmtId="166" fontId="7" fillId="0" borderId="0" xfId="0" applyNumberFormat="1" applyFont="1" applyBorder="1">
      <alignment wrapText="1"/>
    </xf>
    <xf numFmtId="168" fontId="5" fillId="0" borderId="1" xfId="1" applyNumberFormat="1" applyFont="1" applyFill="1" applyBorder="1" applyAlignment="1">
      <alignment horizontal="right" wrapText="1"/>
    </xf>
    <xf numFmtId="168" fontId="5" fillId="0" borderId="2" xfId="1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>
      <alignment wrapText="1"/>
    </xf>
    <xf numFmtId="165" fontId="12" fillId="0" borderId="0" xfId="0" applyNumberFormat="1" applyFont="1" applyBorder="1">
      <alignment wrapText="1"/>
    </xf>
    <xf numFmtId="165" fontId="13" fillId="0" borderId="0" xfId="0" applyNumberFormat="1" applyFont="1" applyBorder="1">
      <alignment wrapText="1"/>
    </xf>
    <xf numFmtId="165" fontId="5" fillId="0" borderId="1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right" wrapText="1"/>
    </xf>
    <xf numFmtId="167" fontId="10" fillId="0" borderId="1" xfId="0" applyNumberFormat="1" applyFont="1" applyFill="1" applyBorder="1" applyAlignment="1">
      <alignment horizontal="right" wrapText="1"/>
    </xf>
    <xf numFmtId="165" fontId="9" fillId="0" borderId="0" xfId="0" applyNumberFormat="1" applyFont="1" applyBorder="1">
      <alignment wrapText="1"/>
    </xf>
    <xf numFmtId="165" fontId="14" fillId="0" borderId="0" xfId="0" applyNumberFormat="1" applyFont="1" applyBorder="1">
      <alignment wrapText="1"/>
    </xf>
    <xf numFmtId="167" fontId="5" fillId="0" borderId="1" xfId="2" applyNumberFormat="1" applyFont="1" applyFill="1" applyBorder="1" applyAlignment="1">
      <alignment horizontal="right" wrapText="1"/>
    </xf>
    <xf numFmtId="167" fontId="5" fillId="0" borderId="2" xfId="2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167" fontId="5" fillId="0" borderId="0" xfId="2" applyNumberFormat="1" applyFont="1" applyFill="1" applyBorder="1" applyAlignment="1">
      <alignment horizontal="right" wrapText="1"/>
    </xf>
    <xf numFmtId="168" fontId="10" fillId="0" borderId="0" xfId="1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>
      <alignment wrapText="1"/>
    </xf>
    <xf numFmtId="165" fontId="13" fillId="0" borderId="0" xfId="0" applyNumberFormat="1" applyFont="1" applyFill="1" applyBorder="1">
      <alignment wrapText="1"/>
    </xf>
    <xf numFmtId="0" fontId="9" fillId="0" borderId="0" xfId="0" applyFont="1" applyFill="1" applyBorder="1">
      <alignment wrapText="1"/>
    </xf>
    <xf numFmtId="165" fontId="14" fillId="0" borderId="0" xfId="0" applyNumberFormat="1" applyFont="1" applyFill="1" applyBorder="1">
      <alignment wrapText="1"/>
    </xf>
    <xf numFmtId="0" fontId="9" fillId="0" borderId="0" xfId="0" applyFont="1" applyFill="1">
      <alignment wrapText="1"/>
    </xf>
    <xf numFmtId="3" fontId="6" fillId="0" borderId="0" xfId="2" applyNumberFormat="1" applyFont="1" applyFill="1" applyBorder="1"/>
    <xf numFmtId="167" fontId="7" fillId="0" borderId="0" xfId="2" applyNumberFormat="1" applyFont="1" applyBorder="1"/>
    <xf numFmtId="168" fontId="10" fillId="0" borderId="1" xfId="2" applyNumberFormat="1" applyFont="1" applyFill="1" applyBorder="1" applyAlignment="1">
      <alignment horizontal="right" wrapText="1"/>
    </xf>
    <xf numFmtId="168" fontId="5" fillId="0" borderId="1" xfId="2" applyNumberFormat="1" applyFont="1" applyFill="1" applyBorder="1" applyAlignment="1">
      <alignment horizontal="right" wrapText="1"/>
    </xf>
    <xf numFmtId="168" fontId="5" fillId="0" borderId="2" xfId="2" applyNumberFormat="1" applyFont="1" applyFill="1" applyBorder="1" applyAlignment="1">
      <alignment horizontal="right" wrapText="1"/>
    </xf>
    <xf numFmtId="164" fontId="5" fillId="0" borderId="1" xfId="2" applyNumberFormat="1" applyFont="1" applyFill="1" applyBorder="1" applyAlignment="1">
      <alignment horizontal="right" wrapText="1"/>
    </xf>
    <xf numFmtId="164" fontId="5" fillId="0" borderId="1" xfId="1" applyFont="1" applyFill="1" applyBorder="1" applyAlignment="1">
      <alignment horizontal="right" wrapText="1"/>
    </xf>
    <xf numFmtId="43" fontId="10" fillId="0" borderId="0" xfId="2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2" fontId="5" fillId="0" borderId="0" xfId="2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43" fontId="10" fillId="0" borderId="1" xfId="2" applyNumberFormat="1" applyFont="1" applyFill="1" applyBorder="1" applyAlignment="1">
      <alignment horizontal="right" wrapText="1"/>
    </xf>
    <xf numFmtId="43" fontId="7" fillId="0" borderId="0" xfId="2" applyNumberFormat="1" applyFont="1" applyBorder="1"/>
    <xf numFmtId="167" fontId="8" fillId="0" borderId="0" xfId="2" applyNumberFormat="1" applyFont="1" applyBorder="1"/>
    <xf numFmtId="2" fontId="9" fillId="0" borderId="0" xfId="0" applyNumberFormat="1" applyFont="1" applyBorder="1" applyAlignment="1">
      <alignment horizontal="center" vertical="top" wrapText="1"/>
    </xf>
    <xf numFmtId="43" fontId="5" fillId="0" borderId="1" xfId="2" applyNumberFormat="1" applyFont="1" applyFill="1" applyBorder="1" applyAlignment="1">
      <alignment horizontal="right" wrapText="1"/>
    </xf>
    <xf numFmtId="43" fontId="5" fillId="0" borderId="1" xfId="2" applyFont="1" applyFill="1" applyBorder="1" applyAlignment="1">
      <alignment horizontal="right" wrapText="1"/>
    </xf>
    <xf numFmtId="43" fontId="10" fillId="0" borderId="1" xfId="0" applyNumberFormat="1" applyFont="1" applyFill="1" applyBorder="1" applyAlignment="1">
      <alignment horizontal="right" wrapText="1"/>
    </xf>
    <xf numFmtId="1" fontId="5" fillId="0" borderId="1" xfId="2" applyNumberFormat="1" applyFont="1" applyFill="1" applyBorder="1" applyAlignment="1">
      <alignment horizontal="right"/>
    </xf>
    <xf numFmtId="167" fontId="7" fillId="0" borderId="0" xfId="0" applyNumberFormat="1" applyFont="1" applyBorder="1">
      <alignment wrapText="1"/>
    </xf>
    <xf numFmtId="0" fontId="7" fillId="0" borderId="0" xfId="0" applyFont="1" applyFill="1" applyBorder="1">
      <alignment wrapText="1"/>
    </xf>
    <xf numFmtId="0" fontId="8" fillId="0" borderId="0" xfId="0" applyFont="1" applyFill="1" applyBorder="1">
      <alignment wrapText="1"/>
    </xf>
    <xf numFmtId="43" fontId="10" fillId="0" borderId="1" xfId="2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 wrapText="1"/>
    </xf>
    <xf numFmtId="39" fontId="5" fillId="0" borderId="1" xfId="0" applyNumberFormat="1" applyFont="1" applyFill="1" applyBorder="1" applyAlignment="1">
      <alignment horizontal="right" wrapText="1"/>
    </xf>
    <xf numFmtId="3" fontId="11" fillId="0" borderId="0" xfId="2" applyNumberFormat="1" applyFont="1" applyFill="1" applyBorder="1"/>
    <xf numFmtId="167" fontId="12" fillId="0" borderId="0" xfId="2" applyNumberFormat="1" applyFont="1" applyFill="1" applyBorder="1"/>
    <xf numFmtId="37" fontId="10" fillId="0" borderId="1" xfId="2" applyNumberFormat="1" applyFont="1" applyFill="1" applyBorder="1" applyAlignment="1">
      <alignment horizontal="right"/>
    </xf>
    <xf numFmtId="3" fontId="9" fillId="0" borderId="0" xfId="0" applyNumberFormat="1" applyFont="1" applyBorder="1">
      <alignment wrapText="1"/>
    </xf>
    <xf numFmtId="167" fontId="8" fillId="0" borderId="0" xfId="0" applyNumberFormat="1" applyFont="1" applyBorder="1">
      <alignment wrapText="1"/>
    </xf>
    <xf numFmtId="167" fontId="7" fillId="2" borderId="0" xfId="0" applyNumberFormat="1" applyFont="1" applyFill="1" applyBorder="1">
      <alignment wrapText="1"/>
    </xf>
    <xf numFmtId="0" fontId="9" fillId="2" borderId="0" xfId="0" applyFont="1" applyFill="1" applyBorder="1">
      <alignment wrapText="1"/>
    </xf>
    <xf numFmtId="3" fontId="9" fillId="2" borderId="0" xfId="0" applyNumberFormat="1" applyFont="1" applyFill="1" applyBorder="1">
      <alignment wrapText="1"/>
    </xf>
    <xf numFmtId="0" fontId="9" fillId="2" borderId="0" xfId="0" applyFont="1" applyFill="1">
      <alignment wrapText="1"/>
    </xf>
    <xf numFmtId="168" fontId="5" fillId="0" borderId="0" xfId="1" applyNumberFormat="1" applyFont="1" applyFill="1" applyBorder="1" applyAlignment="1">
      <alignment horizontal="left" wrapText="1"/>
    </xf>
    <xf numFmtId="167" fontId="10" fillId="0" borderId="0" xfId="0" applyNumberFormat="1" applyFont="1" applyFill="1" applyBorder="1" applyAlignment="1">
      <alignment horizontal="right" wrapText="1"/>
    </xf>
    <xf numFmtId="3" fontId="10" fillId="0" borderId="0" xfId="2" applyNumberFormat="1" applyFont="1" applyFill="1" applyBorder="1" applyAlignment="1">
      <alignment horizontal="right" wrapText="1"/>
    </xf>
    <xf numFmtId="167" fontId="5" fillId="0" borderId="0" xfId="2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Border="1">
      <alignment wrapText="1"/>
    </xf>
    <xf numFmtId="3" fontId="8" fillId="0" borderId="0" xfId="0" applyNumberFormat="1" applyFont="1" applyBorder="1">
      <alignment wrapText="1"/>
    </xf>
    <xf numFmtId="3" fontId="13" fillId="0" borderId="0" xfId="0" applyNumberFormat="1" applyFont="1" applyFill="1" applyBorder="1" applyAlignment="1">
      <alignment horizontal="center" vertical="top" wrapText="1"/>
    </xf>
    <xf numFmtId="0" fontId="10" fillId="0" borderId="1" xfId="3" applyFont="1" applyFill="1" applyBorder="1" applyAlignment="1">
      <alignment horizontal="left" wrapText="1"/>
    </xf>
    <xf numFmtId="0" fontId="16" fillId="0" borderId="1" xfId="3" applyFont="1" applyFill="1" applyBorder="1" applyAlignment="1">
      <alignment horizontal="left" wrapText="1"/>
    </xf>
    <xf numFmtId="3" fontId="10" fillId="0" borderId="1" xfId="2" applyNumberFormat="1" applyFont="1" applyFill="1" applyBorder="1" applyAlignment="1">
      <alignment horizontal="right"/>
    </xf>
    <xf numFmtId="43" fontId="10" fillId="0" borderId="1" xfId="2" applyFont="1" applyFill="1" applyBorder="1" applyAlignment="1">
      <alignment horizontal="right"/>
    </xf>
    <xf numFmtId="3" fontId="12" fillId="0" borderId="0" xfId="0" applyNumberFormat="1" applyFont="1" applyBorder="1">
      <alignment wrapText="1"/>
    </xf>
    <xf numFmtId="3" fontId="13" fillId="0" borderId="0" xfId="0" applyNumberFormat="1" applyFont="1" applyBorder="1">
      <alignment wrapText="1"/>
    </xf>
    <xf numFmtId="3" fontId="12" fillId="0" borderId="0" xfId="0" applyNumberFormat="1" applyFont="1" applyFill="1" applyBorder="1">
      <alignment wrapText="1"/>
    </xf>
    <xf numFmtId="3" fontId="13" fillId="0" borderId="0" xfId="0" applyNumberFormat="1" applyFont="1" applyFill="1" applyBorder="1">
      <alignment wrapText="1"/>
    </xf>
    <xf numFmtId="3" fontId="11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wrapText="1"/>
    </xf>
    <xf numFmtId="2" fontId="7" fillId="0" borderId="0" xfId="0" applyNumberFormat="1" applyFont="1" applyBorder="1">
      <alignment wrapText="1"/>
    </xf>
    <xf numFmtId="2" fontId="8" fillId="0" borderId="0" xfId="0" applyNumberFormat="1" applyFont="1" applyBorder="1">
      <alignment wrapText="1"/>
    </xf>
    <xf numFmtId="167" fontId="10" fillId="0" borderId="1" xfId="2" applyNumberFormat="1" applyFont="1" applyFill="1" applyBorder="1" applyAlignment="1"/>
    <xf numFmtId="43" fontId="10" fillId="0" borderId="1" xfId="2" applyNumberFormat="1" applyFont="1" applyFill="1" applyBorder="1" applyAlignment="1"/>
    <xf numFmtId="164" fontId="10" fillId="0" borderId="1" xfId="1" applyFont="1" applyFill="1" applyBorder="1" applyAlignment="1">
      <alignment wrapText="1"/>
    </xf>
    <xf numFmtId="167" fontId="10" fillId="0" borderId="1" xfId="0" applyNumberFormat="1" applyFont="1" applyFill="1" applyBorder="1" applyAlignment="1">
      <alignment wrapText="1"/>
    </xf>
    <xf numFmtId="165" fontId="15" fillId="0" borderId="0" xfId="0" applyNumberFormat="1" applyFont="1" applyBorder="1">
      <alignment wrapText="1"/>
    </xf>
    <xf numFmtId="4" fontId="9" fillId="0" borderId="0" xfId="0" applyNumberFormat="1" applyFont="1" applyBorder="1">
      <alignment wrapText="1"/>
    </xf>
    <xf numFmtId="167" fontId="17" fillId="0" borderId="0" xfId="2" applyNumberFormat="1" applyFont="1" applyBorder="1"/>
    <xf numFmtId="167" fontId="5" fillId="0" borderId="1" xfId="2" applyNumberFormat="1" applyFont="1" applyFill="1" applyBorder="1" applyAlignment="1"/>
    <xf numFmtId="43" fontId="5" fillId="0" borderId="1" xfId="2" applyNumberFormat="1" applyFont="1" applyFill="1" applyBorder="1" applyAlignment="1"/>
    <xf numFmtId="1" fontId="5" fillId="0" borderId="1" xfId="2" applyNumberFormat="1" applyFont="1" applyFill="1" applyBorder="1" applyAlignment="1"/>
    <xf numFmtId="167" fontId="5" fillId="0" borderId="0" xfId="2" applyNumberFormat="1" applyFont="1" applyFill="1" applyBorder="1" applyAlignment="1"/>
    <xf numFmtId="43" fontId="10" fillId="0" borderId="0" xfId="2" applyFont="1" applyFill="1" applyBorder="1" applyAlignment="1">
      <alignment wrapText="1"/>
    </xf>
    <xf numFmtId="2" fontId="5" fillId="0" borderId="0" xfId="2" applyNumberFormat="1" applyFont="1" applyFill="1" applyBorder="1" applyAlignment="1"/>
    <xf numFmtId="167" fontId="10" fillId="0" borderId="0" xfId="2" applyNumberFormat="1" applyFont="1" applyFill="1" applyBorder="1" applyAlignment="1"/>
    <xf numFmtId="43" fontId="5" fillId="0" borderId="0" xfId="2" applyNumberFormat="1" applyFont="1" applyFill="1" applyBorder="1" applyAlignment="1"/>
    <xf numFmtId="0" fontId="5" fillId="0" borderId="0" xfId="0" applyFont="1" applyFill="1" applyBorder="1" applyAlignment="1">
      <alignment wrapText="1"/>
    </xf>
    <xf numFmtId="167" fontId="11" fillId="0" borderId="0" xfId="2" applyNumberFormat="1" applyFont="1" applyFill="1" applyBorder="1" applyAlignment="1"/>
    <xf numFmtId="1" fontId="5" fillId="0" borderId="0" xfId="2" applyNumberFormat="1" applyFont="1" applyFill="1" applyBorder="1" applyAlignment="1"/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67" fontId="6" fillId="0" borderId="0" xfId="0" applyNumberFormat="1" applyFont="1" applyFill="1" applyAlignment="1">
      <alignment horizontal="left"/>
    </xf>
    <xf numFmtId="43" fontId="10" fillId="0" borderId="0" xfId="2" applyFont="1" applyFill="1" applyAlignment="1">
      <alignment wrapText="1"/>
    </xf>
    <xf numFmtId="167" fontId="10" fillId="0" borderId="0" xfId="0" applyNumberFormat="1" applyFont="1" applyFill="1" applyAlignment="1">
      <alignment wrapText="1"/>
    </xf>
    <xf numFmtId="167" fontId="15" fillId="0" borderId="0" xfId="2" applyNumberFormat="1" applyFont="1" applyBorder="1"/>
    <xf numFmtId="167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3" fontId="15" fillId="0" borderId="0" xfId="0" applyNumberFormat="1" applyFont="1" applyBorder="1">
      <alignment wrapText="1"/>
    </xf>
    <xf numFmtId="3" fontId="10" fillId="0" borderId="0" xfId="0" applyNumberFormat="1" applyFont="1" applyFill="1" applyBorder="1" applyAlignment="1">
      <alignment wrapText="1"/>
    </xf>
    <xf numFmtId="0" fontId="18" fillId="0" borderId="0" xfId="0" applyFont="1" applyFill="1">
      <alignment wrapText="1"/>
    </xf>
    <xf numFmtId="0" fontId="10" fillId="0" borderId="0" xfId="0" applyFont="1" applyFill="1">
      <alignment wrapText="1"/>
    </xf>
    <xf numFmtId="0" fontId="6" fillId="0" borderId="0" xfId="0" applyFont="1" applyFill="1">
      <alignment wrapText="1"/>
    </xf>
    <xf numFmtId="0" fontId="10" fillId="0" borderId="0" xfId="0" applyFont="1" applyFill="1" applyBorder="1">
      <alignment wrapText="1"/>
    </xf>
    <xf numFmtId="167" fontId="19" fillId="0" borderId="0" xfId="2" applyNumberFormat="1" applyFont="1" applyFill="1" applyBorder="1"/>
    <xf numFmtId="167" fontId="5" fillId="0" borderId="0" xfId="2" applyNumberFormat="1" applyFont="1" applyFill="1" applyBorder="1"/>
    <xf numFmtId="3" fontId="10" fillId="0" borderId="0" xfId="0" applyNumberFormat="1" applyFont="1" applyFill="1" applyBorder="1">
      <alignment wrapText="1"/>
    </xf>
    <xf numFmtId="0" fontId="18" fillId="0" borderId="0" xfId="0" applyFont="1" applyFill="1" applyAlignment="1">
      <alignment wrapText="1"/>
    </xf>
    <xf numFmtId="43" fontId="18" fillId="0" borderId="0" xfId="2" applyFont="1" applyFill="1" applyAlignment="1">
      <alignment wrapText="1"/>
    </xf>
    <xf numFmtId="0" fontId="18" fillId="0" borderId="0" xfId="0" applyFont="1" applyFill="1" applyBorder="1">
      <alignment wrapText="1"/>
    </xf>
    <xf numFmtId="3" fontId="7" fillId="0" borderId="0" xfId="0" applyNumberFormat="1" applyFont="1" applyFill="1" applyBorder="1">
      <alignment wrapText="1"/>
    </xf>
    <xf numFmtId="3" fontId="18" fillId="0" borderId="0" xfId="0" applyNumberFormat="1" applyFont="1" applyFill="1" applyBorder="1">
      <alignment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4" fillId="0" borderId="0" xfId="0" applyFont="1">
      <alignment wrapText="1"/>
    </xf>
    <xf numFmtId="49" fontId="28" fillId="0" borderId="1" xfId="37" applyNumberFormat="1" applyFont="1" applyFill="1" applyBorder="1" applyAlignment="1">
      <alignment horizontal="left"/>
    </xf>
    <xf numFmtId="168" fontId="29" fillId="0" borderId="1" xfId="29" applyNumberFormat="1" applyFont="1" applyFill="1" applyBorder="1" applyAlignment="1">
      <alignment horizontal="right"/>
    </xf>
    <xf numFmtId="164" fontId="24" fillId="0" borderId="1" xfId="29" applyNumberFormat="1" applyFont="1" applyFill="1" applyBorder="1" applyAlignment="1">
      <alignment horizontal="right"/>
    </xf>
    <xf numFmtId="168" fontId="24" fillId="0" borderId="1" xfId="29" applyNumberFormat="1" applyFont="1" applyFill="1" applyBorder="1" applyAlignment="1">
      <alignment horizontal="right"/>
    </xf>
    <xf numFmtId="164" fontId="24" fillId="0" borderId="1" xfId="29" applyNumberFormat="1" applyFont="1" applyFill="1" applyBorder="1" applyAlignment="1">
      <alignment horizontal="right" wrapText="1"/>
    </xf>
    <xf numFmtId="164" fontId="24" fillId="0" borderId="1" xfId="1" applyFont="1" applyFill="1" applyBorder="1" applyAlignment="1">
      <alignment horizontal="right" wrapText="1"/>
    </xf>
    <xf numFmtId="43" fontId="24" fillId="0" borderId="1" xfId="32" applyNumberFormat="1" applyFont="1" applyFill="1" applyBorder="1" applyAlignment="1">
      <alignment horizontal="right"/>
    </xf>
    <xf numFmtId="3" fontId="24" fillId="0" borderId="1" xfId="29" applyNumberFormat="1" applyFont="1" applyFill="1" applyBorder="1" applyAlignment="1">
      <alignment horizontal="right" wrapText="1"/>
    </xf>
    <xf numFmtId="3" fontId="24" fillId="0" borderId="1" xfId="29" applyNumberFormat="1" applyFont="1" applyFill="1" applyBorder="1" applyAlignment="1">
      <alignment horizontal="right"/>
    </xf>
    <xf numFmtId="168" fontId="24" fillId="0" borderId="1" xfId="29" applyNumberFormat="1" applyFont="1" applyFill="1" applyBorder="1" applyAlignment="1">
      <alignment horizontal="right" wrapText="1"/>
    </xf>
    <xf numFmtId="168" fontId="23" fillId="0" borderId="1" xfId="29" applyNumberFormat="1" applyFont="1" applyFill="1" applyBorder="1" applyAlignment="1">
      <alignment horizontal="right" wrapText="1"/>
    </xf>
    <xf numFmtId="168" fontId="23" fillId="0" borderId="1" xfId="29" applyNumberFormat="1" applyFont="1" applyFill="1" applyBorder="1" applyAlignment="1">
      <alignment horizontal="right"/>
    </xf>
    <xf numFmtId="3" fontId="23" fillId="0" borderId="1" xfId="32" applyNumberFormat="1" applyFont="1" applyFill="1" applyBorder="1" applyAlignment="1">
      <alignment horizontal="right"/>
    </xf>
    <xf numFmtId="3" fontId="24" fillId="0" borderId="1" xfId="32" applyNumberFormat="1" applyFont="1" applyFill="1" applyBorder="1" applyAlignment="1">
      <alignment horizontal="right"/>
    </xf>
    <xf numFmtId="3" fontId="23" fillId="0" borderId="1" xfId="29" applyNumberFormat="1" applyFont="1" applyFill="1" applyBorder="1" applyAlignment="1">
      <alignment horizontal="right" wrapText="1"/>
    </xf>
    <xf numFmtId="0" fontId="23" fillId="0" borderId="1" xfId="0" applyFont="1" applyFill="1" applyBorder="1" applyAlignment="1">
      <alignment horizontal="right" wrapText="1"/>
    </xf>
    <xf numFmtId="43" fontId="24" fillId="0" borderId="1" xfId="2" applyFont="1" applyFill="1" applyBorder="1" applyAlignment="1">
      <alignment horizontal="right" wrapText="1"/>
    </xf>
    <xf numFmtId="3" fontId="24" fillId="0" borderId="1" xfId="2" applyNumberFormat="1" applyFont="1" applyFill="1" applyBorder="1" applyAlignment="1">
      <alignment horizontal="right" wrapText="1"/>
    </xf>
    <xf numFmtId="167" fontId="24" fillId="0" borderId="1" xfId="2" applyNumberFormat="1" applyFont="1" applyFill="1" applyBorder="1" applyAlignment="1">
      <alignment horizontal="right" wrapText="1"/>
    </xf>
    <xf numFmtId="167" fontId="24" fillId="0" borderId="0" xfId="2" applyNumberFormat="1" applyFont="1" applyFill="1" applyBorder="1" applyAlignment="1">
      <alignment wrapText="1"/>
    </xf>
    <xf numFmtId="43" fontId="23" fillId="0" borderId="0" xfId="2" applyFont="1" applyFill="1" applyBorder="1" applyAlignment="1">
      <alignment horizontal="center" vertical="top" wrapText="1"/>
    </xf>
    <xf numFmtId="167" fontId="24" fillId="0" borderId="0" xfId="0" applyNumberFormat="1" applyFont="1" applyFill="1" applyBorder="1">
      <alignment wrapText="1"/>
    </xf>
    <xf numFmtId="43" fontId="24" fillId="0" borderId="0" xfId="0" applyNumberFormat="1" applyFont="1" applyFill="1" applyBorder="1">
      <alignment wrapText="1"/>
    </xf>
    <xf numFmtId="43" fontId="24" fillId="0" borderId="0" xfId="2" applyFont="1" applyFill="1" applyBorder="1" applyAlignment="1">
      <alignment wrapText="1"/>
    </xf>
    <xf numFmtId="0" fontId="2" fillId="0" borderId="0" xfId="41" applyFill="1" applyBorder="1" applyAlignment="1"/>
    <xf numFmtId="0" fontId="34" fillId="0" borderId="0" xfId="0" applyFont="1" applyFill="1" applyBorder="1">
      <alignment wrapText="1"/>
    </xf>
    <xf numFmtId="3" fontId="34" fillId="0" borderId="0" xfId="0" applyNumberFormat="1" applyFont="1" applyFill="1" applyBorder="1">
      <alignment wrapText="1"/>
    </xf>
    <xf numFmtId="0" fontId="34" fillId="0" borderId="1" xfId="35" quotePrefix="1" applyFont="1" applyFill="1" applyBorder="1" applyAlignment="1">
      <alignment horizontal="right" wrapText="1"/>
    </xf>
    <xf numFmtId="3" fontId="39" fillId="0" borderId="1" xfId="29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 wrapText="1"/>
    </xf>
    <xf numFmtId="3" fontId="34" fillId="0" borderId="1" xfId="29" applyNumberFormat="1" applyFont="1" applyFill="1" applyBorder="1" applyAlignment="1">
      <alignment horizontal="right" wrapText="1"/>
    </xf>
    <xf numFmtId="0" fontId="34" fillId="0" borderId="1" xfId="35" quotePrefix="1" applyFont="1" applyFill="1" applyBorder="1" applyAlignment="1">
      <alignment horizontal="right"/>
    </xf>
    <xf numFmtId="168" fontId="33" fillId="0" borderId="1" xfId="29" applyNumberFormat="1" applyFont="1" applyFill="1" applyBorder="1" applyAlignment="1">
      <alignment horizontal="right"/>
    </xf>
    <xf numFmtId="168" fontId="33" fillId="0" borderId="1" xfId="29" applyNumberFormat="1" applyFont="1" applyFill="1" applyBorder="1" applyAlignment="1">
      <alignment horizontal="right" wrapText="1"/>
    </xf>
    <xf numFmtId="0" fontId="34" fillId="0" borderId="1" xfId="0" applyFont="1" applyFill="1" applyBorder="1" applyAlignment="1">
      <alignment horizontal="right" wrapText="1"/>
    </xf>
    <xf numFmtId="164" fontId="34" fillId="0" borderId="1" xfId="1" applyFont="1" applyFill="1" applyBorder="1" applyAlignment="1">
      <alignment horizontal="right" wrapText="1"/>
    </xf>
    <xf numFmtId="3" fontId="33" fillId="0" borderId="1" xfId="29" applyNumberFormat="1" applyFont="1" applyFill="1" applyBorder="1" applyAlignment="1">
      <alignment horizontal="right" wrapText="1"/>
    </xf>
    <xf numFmtId="3" fontId="33" fillId="0" borderId="1" xfId="35" applyNumberFormat="1" applyFont="1" applyFill="1" applyBorder="1" applyAlignment="1">
      <alignment horizontal="right"/>
    </xf>
    <xf numFmtId="0" fontId="33" fillId="0" borderId="0" xfId="35" applyFont="1" applyFill="1" applyBorder="1" applyAlignment="1"/>
    <xf numFmtId="0" fontId="33" fillId="0" borderId="1" xfId="35" quotePrefix="1" applyFont="1" applyFill="1" applyBorder="1" applyAlignment="1"/>
    <xf numFmtId="3" fontId="33" fillId="0" borderId="1" xfId="35" quotePrefix="1" applyNumberFormat="1" applyFont="1" applyFill="1" applyBorder="1" applyAlignment="1">
      <alignment horizontal="right"/>
    </xf>
    <xf numFmtId="0" fontId="34" fillId="0" borderId="1" xfId="35" applyFont="1" applyFill="1" applyBorder="1" applyAlignment="1">
      <alignment wrapText="1"/>
    </xf>
    <xf numFmtId="49" fontId="34" fillId="0" borderId="1" xfId="35" applyNumberFormat="1" applyFont="1" applyFill="1" applyBorder="1" applyAlignment="1">
      <alignment horizontal="right" wrapText="1"/>
    </xf>
    <xf numFmtId="3" fontId="34" fillId="0" borderId="1" xfId="25" applyNumberFormat="1" applyFont="1" applyFill="1" applyBorder="1" applyAlignment="1">
      <alignment horizontal="right"/>
    </xf>
    <xf numFmtId="3" fontId="34" fillId="0" borderId="1" xfId="8" applyNumberFormat="1" applyFont="1" applyFill="1" applyBorder="1" applyAlignment="1">
      <alignment horizontal="right"/>
    </xf>
    <xf numFmtId="3" fontId="34" fillId="0" borderId="0" xfId="8" applyNumberFormat="1" applyFont="1" applyFill="1" applyBorder="1" applyAlignment="1">
      <alignment horizontal="right"/>
    </xf>
    <xf numFmtId="164" fontId="35" fillId="0" borderId="0" xfId="1" applyFont="1" applyFill="1" applyBorder="1" applyAlignment="1">
      <alignment horizontal="right"/>
    </xf>
    <xf numFmtId="164" fontId="34" fillId="0" borderId="1" xfId="1" applyFont="1" applyFill="1" applyBorder="1" applyAlignment="1">
      <alignment horizontal="right"/>
    </xf>
    <xf numFmtId="164" fontId="34" fillId="0" borderId="0" xfId="1" applyFont="1" applyFill="1" applyBorder="1" applyAlignment="1">
      <alignment horizontal="right"/>
    </xf>
    <xf numFmtId="3" fontId="33" fillId="0" borderId="1" xfId="25" applyNumberFormat="1" applyFont="1" applyFill="1" applyBorder="1" applyAlignment="1">
      <alignment horizontal="right"/>
    </xf>
    <xf numFmtId="3" fontId="33" fillId="0" borderId="0" xfId="25" applyNumberFormat="1" applyFont="1" applyFill="1" applyBorder="1" applyAlignment="1">
      <alignment horizontal="right"/>
    </xf>
    <xf numFmtId="0" fontId="33" fillId="0" borderId="0" xfId="35" quotePrefix="1" applyFont="1" applyFill="1" applyBorder="1" applyAlignment="1">
      <alignment horizontal="right"/>
    </xf>
    <xf numFmtId="0" fontId="33" fillId="0" borderId="0" xfId="35" applyFont="1" applyFill="1" applyBorder="1" applyAlignment="1">
      <alignment horizontal="right"/>
    </xf>
    <xf numFmtId="3" fontId="33" fillId="0" borderId="0" xfId="35" quotePrefix="1" applyNumberFormat="1" applyFont="1" applyFill="1" applyBorder="1" applyAlignment="1">
      <alignment horizontal="right"/>
    </xf>
    <xf numFmtId="0" fontId="34" fillId="0" borderId="1" xfId="35" applyFont="1" applyFill="1" applyBorder="1" applyAlignment="1">
      <alignment horizontal="left" wrapText="1"/>
    </xf>
    <xf numFmtId="3" fontId="33" fillId="0" borderId="1" xfId="8" applyNumberFormat="1" applyFont="1" applyFill="1" applyBorder="1" applyAlignment="1">
      <alignment horizontal="right"/>
    </xf>
    <xf numFmtId="3" fontId="33" fillId="0" borderId="0" xfId="8" applyNumberFormat="1" applyFont="1" applyFill="1" applyBorder="1" applyAlignment="1">
      <alignment horizontal="right"/>
    </xf>
    <xf numFmtId="3" fontId="41" fillId="0" borderId="0" xfId="41" applyNumberFormat="1" applyFont="1" applyFill="1" applyBorder="1" applyAlignment="1">
      <alignment horizontal="right"/>
    </xf>
    <xf numFmtId="0" fontId="33" fillId="0" borderId="0" xfId="35" quotePrefix="1" applyFont="1" applyFill="1" applyBorder="1" applyAlignment="1">
      <alignment vertical="center"/>
    </xf>
    <xf numFmtId="168" fontId="34" fillId="0" borderId="1" xfId="8" applyNumberFormat="1" applyFont="1" applyFill="1" applyBorder="1" applyAlignment="1">
      <alignment horizontal="right"/>
    </xf>
    <xf numFmtId="168" fontId="34" fillId="0" borderId="0" xfId="8" applyNumberFormat="1" applyFont="1" applyFill="1" applyBorder="1"/>
    <xf numFmtId="164" fontId="34" fillId="0" borderId="1" xfId="8" applyNumberFormat="1" applyFont="1" applyFill="1" applyBorder="1" applyAlignment="1">
      <alignment horizontal="right"/>
    </xf>
    <xf numFmtId="49" fontId="34" fillId="0" borderId="0" xfId="35" applyNumberFormat="1" applyFont="1" applyFill="1" applyBorder="1" applyAlignment="1">
      <alignment horizontal="right" wrapText="1"/>
    </xf>
    <xf numFmtId="0" fontId="34" fillId="0" borderId="0" xfId="35" quotePrefix="1" applyFont="1" applyFill="1" applyBorder="1" applyAlignment="1">
      <alignment horizontal="right" wrapText="1"/>
    </xf>
    <xf numFmtId="0" fontId="34" fillId="0" borderId="0" xfId="35" quotePrefix="1" applyFont="1" applyFill="1" applyBorder="1" applyAlignment="1">
      <alignment horizontal="right"/>
    </xf>
    <xf numFmtId="3" fontId="34" fillId="0" borderId="0" xfId="25" applyNumberFormat="1" applyFont="1" applyFill="1" applyBorder="1" applyAlignment="1">
      <alignment horizontal="right"/>
    </xf>
    <xf numFmtId="0" fontId="33" fillId="0" borderId="1" xfId="35" applyFont="1" applyFill="1" applyBorder="1" applyAlignment="1">
      <alignment horizontal="left"/>
    </xf>
    <xf numFmtId="0" fontId="33" fillId="0" borderId="1" xfId="35" quotePrefix="1" applyFont="1" applyFill="1" applyBorder="1" applyAlignment="1">
      <alignment horizontal="right"/>
    </xf>
    <xf numFmtId="0" fontId="34" fillId="0" borderId="1" xfId="35" applyFont="1" applyFill="1" applyBorder="1" applyAlignment="1">
      <alignment horizontal="right"/>
    </xf>
    <xf numFmtId="3" fontId="34" fillId="0" borderId="1" xfId="35" applyNumberFormat="1" applyFont="1" applyFill="1" applyBorder="1" applyAlignment="1">
      <alignment horizontal="right"/>
    </xf>
    <xf numFmtId="3" fontId="34" fillId="0" borderId="0" xfId="35" applyNumberFormat="1" applyFont="1" applyFill="1" applyBorder="1" applyAlignment="1">
      <alignment horizontal="right"/>
    </xf>
    <xf numFmtId="0" fontId="33" fillId="0" borderId="1" xfId="35" quotePrefix="1" applyFont="1" applyFill="1" applyBorder="1" applyAlignment="1">
      <alignment horizontal="left"/>
    </xf>
    <xf numFmtId="3" fontId="37" fillId="0" borderId="0" xfId="27" applyNumberFormat="1" applyFont="1" applyFill="1" applyBorder="1" applyAlignment="1">
      <alignment horizontal="right" wrapText="1"/>
    </xf>
    <xf numFmtId="49" fontId="33" fillId="0" borderId="1" xfId="35" applyNumberFormat="1" applyFont="1" applyFill="1" applyBorder="1" applyAlignment="1">
      <alignment horizontal="right" wrapText="1"/>
    </xf>
    <xf numFmtId="0" fontId="33" fillId="0" borderId="1" xfId="35" applyFont="1" applyFill="1" applyBorder="1" applyAlignment="1">
      <alignment horizontal="right"/>
    </xf>
    <xf numFmtId="168" fontId="33" fillId="0" borderId="1" xfId="1" applyNumberFormat="1" applyFont="1" applyFill="1" applyBorder="1" applyAlignment="1">
      <alignment horizontal="right"/>
    </xf>
    <xf numFmtId="164" fontId="34" fillId="0" borderId="1" xfId="25" applyNumberFormat="1" applyFont="1" applyFill="1" applyBorder="1" applyAlignment="1">
      <alignment horizontal="right"/>
    </xf>
    <xf numFmtId="49" fontId="34" fillId="0" borderId="1" xfId="35" applyNumberFormat="1" applyFont="1" applyFill="1" applyBorder="1" applyAlignment="1">
      <alignment horizontal="right"/>
    </xf>
    <xf numFmtId="49" fontId="33" fillId="0" borderId="1" xfId="35" applyNumberFormat="1" applyFont="1" applyFill="1" applyBorder="1" applyAlignment="1">
      <alignment horizontal="right"/>
    </xf>
    <xf numFmtId="49" fontId="33" fillId="0" borderId="0" xfId="35" applyNumberFormat="1" applyFont="1" applyFill="1" applyBorder="1" applyAlignment="1">
      <alignment horizontal="right"/>
    </xf>
    <xf numFmtId="0" fontId="33" fillId="0" borderId="3" xfId="35" applyFont="1" applyFill="1" applyBorder="1" applyAlignment="1">
      <alignment horizontal="left"/>
    </xf>
    <xf numFmtId="0" fontId="33" fillId="0" borderId="3" xfId="35" quotePrefix="1" applyFont="1" applyFill="1" applyBorder="1" applyAlignment="1">
      <alignment horizontal="right"/>
    </xf>
    <xf numFmtId="3" fontId="33" fillId="0" borderId="3" xfId="35" quotePrefix="1" applyNumberFormat="1" applyFont="1" applyFill="1" applyBorder="1" applyAlignment="1">
      <alignment horizontal="right"/>
    </xf>
    <xf numFmtId="0" fontId="34" fillId="0" borderId="4" xfId="35" applyFont="1" applyFill="1" applyBorder="1" applyAlignment="1">
      <alignment wrapText="1"/>
    </xf>
    <xf numFmtId="49" fontId="34" fillId="0" borderId="4" xfId="35" applyNumberFormat="1" applyFont="1" applyFill="1" applyBorder="1" applyAlignment="1">
      <alignment horizontal="right"/>
    </xf>
    <xf numFmtId="0" fontId="34" fillId="0" borderId="4" xfId="35" quotePrefix="1" applyFont="1" applyFill="1" applyBorder="1" applyAlignment="1">
      <alignment horizontal="right"/>
    </xf>
    <xf numFmtId="49" fontId="34" fillId="0" borderId="4" xfId="41" applyNumberFormat="1" applyFont="1" applyFill="1" applyBorder="1" applyAlignment="1">
      <alignment horizontal="right" wrapText="1"/>
    </xf>
    <xf numFmtId="3" fontId="34" fillId="0" borderId="4" xfId="25" applyNumberFormat="1" applyFont="1" applyFill="1" applyBorder="1" applyAlignment="1">
      <alignment horizontal="right"/>
    </xf>
    <xf numFmtId="0" fontId="33" fillId="0" borderId="4" xfId="35" applyFont="1" applyFill="1" applyBorder="1" applyAlignment="1">
      <alignment wrapText="1"/>
    </xf>
    <xf numFmtId="0" fontId="34" fillId="0" borderId="4" xfId="35" applyFont="1" applyFill="1" applyBorder="1" applyAlignment="1">
      <alignment horizontal="right"/>
    </xf>
    <xf numFmtId="164" fontId="33" fillId="0" borderId="4" xfId="1" applyFont="1" applyFill="1" applyBorder="1" applyAlignment="1">
      <alignment horizontal="right"/>
    </xf>
    <xf numFmtId="164" fontId="34" fillId="0" borderId="4" xfId="1" applyFont="1" applyFill="1" applyBorder="1" applyAlignment="1">
      <alignment horizontal="right"/>
    </xf>
    <xf numFmtId="168" fontId="33" fillId="0" borderId="4" xfId="1" applyNumberFormat="1" applyFont="1" applyFill="1" applyBorder="1" applyAlignment="1">
      <alignment horizontal="right"/>
    </xf>
    <xf numFmtId="168" fontId="33" fillId="0" borderId="0" xfId="1" applyNumberFormat="1" applyFont="1" applyFill="1" applyBorder="1" applyAlignment="1">
      <alignment horizontal="right"/>
    </xf>
    <xf numFmtId="49" fontId="33" fillId="0" borderId="4" xfId="35" applyNumberFormat="1" applyFont="1" applyFill="1" applyBorder="1" applyAlignment="1">
      <alignment horizontal="right" wrapText="1"/>
    </xf>
    <xf numFmtId="0" fontId="34" fillId="0" borderId="4" xfId="35" quotePrefix="1" applyFont="1" applyFill="1" applyBorder="1" applyAlignment="1">
      <alignment horizontal="right" wrapText="1"/>
    </xf>
    <xf numFmtId="3" fontId="33" fillId="0" borderId="4" xfId="8" applyNumberFormat="1" applyFont="1" applyFill="1" applyBorder="1" applyAlignment="1">
      <alignment horizontal="right"/>
    </xf>
    <xf numFmtId="3" fontId="34" fillId="0" borderId="4" xfId="8" applyNumberFormat="1" applyFont="1" applyFill="1" applyBorder="1" applyAlignment="1">
      <alignment horizontal="right"/>
    </xf>
    <xf numFmtId="49" fontId="33" fillId="0" borderId="0" xfId="35" applyNumberFormat="1" applyFont="1" applyFill="1" applyBorder="1" applyAlignment="1">
      <alignment horizontal="right" wrapText="1"/>
    </xf>
    <xf numFmtId="0" fontId="34" fillId="0" borderId="0" xfId="35" applyFont="1" applyFill="1" applyBorder="1" applyAlignment="1">
      <alignment horizontal="right"/>
    </xf>
    <xf numFmtId="3" fontId="33" fillId="0" borderId="5" xfId="8" applyNumberFormat="1" applyFont="1" applyFill="1" applyBorder="1" applyAlignment="1">
      <alignment horizontal="right"/>
    </xf>
    <xf numFmtId="3" fontId="34" fillId="0" borderId="1" xfId="30" applyNumberFormat="1" applyFont="1" applyFill="1" applyBorder="1" applyAlignment="1">
      <alignment horizontal="right" wrapText="1"/>
    </xf>
    <xf numFmtId="3" fontId="34" fillId="0" borderId="1" xfId="8" applyNumberFormat="1" applyFont="1" applyFill="1" applyBorder="1" applyAlignment="1">
      <alignment horizontal="right" wrapText="1"/>
    </xf>
    <xf numFmtId="3" fontId="34" fillId="0" borderId="0" xfId="8" applyNumberFormat="1" applyFont="1" applyFill="1" applyBorder="1" applyAlignment="1">
      <alignment horizontal="right" wrapText="1"/>
    </xf>
    <xf numFmtId="3" fontId="34" fillId="0" borderId="0" xfId="30" applyNumberFormat="1" applyFont="1" applyFill="1" applyBorder="1" applyAlignment="1">
      <alignment horizontal="right" wrapText="1"/>
    </xf>
    <xf numFmtId="3" fontId="34" fillId="0" borderId="1" xfId="25" applyNumberFormat="1" applyFont="1" applyFill="1" applyBorder="1" applyAlignment="1">
      <alignment horizontal="right" wrapText="1"/>
    </xf>
    <xf numFmtId="3" fontId="33" fillId="0" borderId="1" xfId="8" applyNumberFormat="1" applyFont="1" applyFill="1" applyBorder="1" applyAlignment="1">
      <alignment horizontal="right" wrapText="1"/>
    </xf>
    <xf numFmtId="3" fontId="33" fillId="0" borderId="0" xfId="8" applyNumberFormat="1" applyFont="1" applyFill="1" applyBorder="1" applyAlignment="1">
      <alignment horizontal="right" wrapText="1"/>
    </xf>
    <xf numFmtId="168" fontId="34" fillId="0" borderId="1" xfId="35" applyNumberFormat="1" applyFont="1" applyFill="1" applyBorder="1" applyAlignment="1">
      <alignment wrapText="1"/>
    </xf>
    <xf numFmtId="168" fontId="34" fillId="0" borderId="1" xfId="35" quotePrefix="1" applyNumberFormat="1" applyFont="1" applyFill="1" applyBorder="1" applyAlignment="1">
      <alignment horizontal="right" wrapText="1"/>
    </xf>
    <xf numFmtId="3" fontId="41" fillId="0" borderId="0" xfId="30" applyNumberFormat="1" applyFont="1" applyFill="1" applyBorder="1" applyAlignment="1">
      <alignment horizontal="right"/>
    </xf>
    <xf numFmtId="3" fontId="33" fillId="0" borderId="0" xfId="30" applyNumberFormat="1" applyFont="1" applyFill="1" applyBorder="1" applyAlignment="1">
      <alignment horizontal="right"/>
    </xf>
    <xf numFmtId="164" fontId="33" fillId="0" borderId="0" xfId="8" applyNumberFormat="1" applyFont="1" applyFill="1" applyBorder="1"/>
    <xf numFmtId="0" fontId="2" fillId="0" borderId="0" xfId="41" applyFill="1" applyBorder="1"/>
    <xf numFmtId="0" fontId="2" fillId="0" borderId="0" xfId="41" applyFill="1"/>
    <xf numFmtId="49" fontId="34" fillId="0" borderId="1" xfId="35" quotePrefix="1" applyNumberFormat="1" applyFont="1" applyFill="1" applyBorder="1" applyAlignment="1">
      <alignment horizontal="right"/>
    </xf>
    <xf numFmtId="3" fontId="34" fillId="0" borderId="1" xfId="35" quotePrefix="1" applyNumberFormat="1" applyFont="1" applyFill="1" applyBorder="1" applyAlignment="1">
      <alignment horizontal="right"/>
    </xf>
    <xf numFmtId="3" fontId="34" fillId="0" borderId="1" xfId="8" quotePrefix="1" applyNumberFormat="1" applyFont="1" applyFill="1" applyBorder="1" applyAlignment="1">
      <alignment horizontal="right"/>
    </xf>
    <xf numFmtId="3" fontId="34" fillId="0" borderId="0" xfId="8" quotePrefix="1" applyNumberFormat="1" applyFont="1" applyFill="1" applyBorder="1" applyAlignment="1">
      <alignment horizontal="right"/>
    </xf>
    <xf numFmtId="0" fontId="34" fillId="0" borderId="1" xfId="35" quotePrefix="1" applyFont="1" applyFill="1" applyBorder="1" applyAlignment="1">
      <alignment wrapText="1"/>
    </xf>
    <xf numFmtId="3" fontId="33" fillId="0" borderId="1" xfId="8" quotePrefix="1" applyNumberFormat="1" applyFont="1" applyFill="1" applyBorder="1" applyAlignment="1">
      <alignment horizontal="right"/>
    </xf>
    <xf numFmtId="3" fontId="33" fillId="0" borderId="0" xfId="8" quotePrefix="1" applyNumberFormat="1" applyFont="1" applyFill="1" applyBorder="1" applyAlignment="1">
      <alignment horizontal="right"/>
    </xf>
    <xf numFmtId="0" fontId="33" fillId="0" borderId="1" xfId="35" quotePrefix="1" applyFont="1" applyFill="1" applyBorder="1" applyAlignment="1">
      <alignment horizontal="right" wrapText="1"/>
    </xf>
    <xf numFmtId="0" fontId="34" fillId="0" borderId="1" xfId="35" applyFont="1" applyFill="1" applyBorder="1" applyAlignment="1">
      <alignment horizontal="right" wrapText="1"/>
    </xf>
    <xf numFmtId="0" fontId="34" fillId="0" borderId="1" xfId="35" applyFont="1" applyFill="1" applyBorder="1" applyAlignment="1">
      <alignment wrapText="1" shrinkToFit="1"/>
    </xf>
    <xf numFmtId="0" fontId="34" fillId="0" borderId="0" xfId="35" applyFont="1" applyFill="1" applyBorder="1" applyAlignment="1">
      <alignment horizontal="right" wrapText="1"/>
    </xf>
    <xf numFmtId="3" fontId="35" fillId="0" borderId="0" xfId="8" applyNumberFormat="1" applyFont="1" applyFill="1" applyBorder="1" applyAlignment="1">
      <alignment horizontal="right"/>
    </xf>
    <xf numFmtId="3" fontId="35" fillId="0" borderId="0" xfId="27" applyNumberFormat="1" applyFont="1" applyFill="1" applyBorder="1" applyAlignment="1">
      <alignment horizontal="right"/>
    </xf>
    <xf numFmtId="49" fontId="34" fillId="0" borderId="1" xfId="41" applyNumberFormat="1" applyFont="1" applyFill="1" applyBorder="1" applyAlignment="1">
      <alignment horizontal="right" wrapText="1"/>
    </xf>
    <xf numFmtId="164" fontId="33" fillId="0" borderId="1" xfId="1" applyFont="1" applyFill="1" applyBorder="1" applyAlignment="1">
      <alignment horizontal="right"/>
    </xf>
    <xf numFmtId="164" fontId="33" fillId="0" borderId="0" xfId="1" applyFont="1" applyFill="1" applyBorder="1" applyAlignment="1">
      <alignment horizontal="right"/>
    </xf>
    <xf numFmtId="0" fontId="34" fillId="0" borderId="1" xfId="35" quotePrefix="1" applyFont="1" applyFill="1" applyBorder="1" applyAlignment="1">
      <alignment horizontal="right" wrapText="1" shrinkToFit="1"/>
    </xf>
    <xf numFmtId="3" fontId="37" fillId="0" borderId="0" xfId="27" applyNumberFormat="1" applyFont="1" applyFill="1" applyBorder="1" applyAlignment="1">
      <alignment horizontal="right"/>
    </xf>
    <xf numFmtId="3" fontId="35" fillId="0" borderId="0" xfId="25" applyNumberFormat="1" applyFont="1" applyFill="1" applyBorder="1" applyAlignment="1">
      <alignment horizontal="right"/>
    </xf>
    <xf numFmtId="49" fontId="33" fillId="0" borderId="1" xfId="35" applyNumberFormat="1" applyFont="1" applyFill="1" applyBorder="1" applyAlignment="1">
      <alignment horizontal="left"/>
    </xf>
    <xf numFmtId="49" fontId="34" fillId="0" borderId="0" xfId="35" applyNumberFormat="1" applyFont="1" applyFill="1" applyBorder="1" applyAlignment="1">
      <alignment horizontal="right"/>
    </xf>
    <xf numFmtId="3" fontId="33" fillId="0" borderId="0" xfId="35" applyNumberFormat="1" applyFont="1" applyFill="1" applyBorder="1" applyAlignment="1">
      <alignment horizontal="right"/>
    </xf>
    <xf numFmtId="0" fontId="34" fillId="0" borderId="1" xfId="41" applyFont="1" applyFill="1" applyBorder="1" applyAlignment="1">
      <alignment horizontal="right"/>
    </xf>
    <xf numFmtId="168" fontId="34" fillId="0" borderId="1" xfId="35" quotePrefix="1" applyNumberFormat="1" applyFont="1" applyFill="1" applyBorder="1" applyAlignment="1">
      <alignment horizontal="right"/>
    </xf>
    <xf numFmtId="168" fontId="34" fillId="0" borderId="1" xfId="35" applyNumberFormat="1" applyFont="1" applyFill="1" applyBorder="1" applyAlignment="1">
      <alignment horizontal="left" wrapText="1"/>
    </xf>
    <xf numFmtId="3" fontId="37" fillId="0" borderId="0" xfId="18" applyNumberFormat="1" applyFont="1" applyFill="1" applyBorder="1" applyAlignment="1">
      <alignment horizontal="right"/>
    </xf>
    <xf numFmtId="168" fontId="33" fillId="0" borderId="1" xfId="35" applyNumberFormat="1" applyFont="1" applyFill="1" applyBorder="1" applyAlignment="1">
      <alignment wrapText="1"/>
    </xf>
    <xf numFmtId="168" fontId="33" fillId="0" borderId="1" xfId="35" quotePrefix="1" applyNumberFormat="1" applyFont="1" applyFill="1" applyBorder="1" applyAlignment="1">
      <alignment horizontal="right"/>
    </xf>
    <xf numFmtId="3" fontId="41" fillId="0" borderId="0" xfId="25" applyNumberFormat="1" applyFont="1" applyFill="1" applyBorder="1" applyAlignment="1">
      <alignment horizontal="right"/>
    </xf>
    <xf numFmtId="3" fontId="35" fillId="0" borderId="0" xfId="41" applyNumberFormat="1" applyFont="1" applyFill="1" applyBorder="1" applyAlignment="1"/>
    <xf numFmtId="3" fontId="34" fillId="0" borderId="1" xfId="35" applyNumberFormat="1" applyFont="1" applyFill="1" applyBorder="1" applyAlignment="1">
      <alignment horizontal="right" wrapText="1"/>
    </xf>
    <xf numFmtId="164" fontId="37" fillId="0" borderId="0" xfId="1" applyFont="1" applyFill="1" applyBorder="1" applyAlignment="1">
      <alignment horizontal="right" wrapText="1"/>
    </xf>
    <xf numFmtId="3" fontId="41" fillId="0" borderId="0" xfId="35" quotePrefix="1" applyNumberFormat="1" applyFont="1" applyFill="1" applyBorder="1" applyAlignment="1">
      <alignment horizontal="right"/>
    </xf>
    <xf numFmtId="164" fontId="33" fillId="0" borderId="1" xfId="1" quotePrefix="1" applyFont="1" applyFill="1" applyBorder="1" applyAlignment="1">
      <alignment horizontal="right"/>
    </xf>
    <xf numFmtId="168" fontId="34" fillId="0" borderId="1" xfId="33" applyNumberFormat="1" applyFont="1" applyFill="1" applyBorder="1" applyAlignment="1">
      <alignment wrapText="1"/>
    </xf>
    <xf numFmtId="0" fontId="33" fillId="0" borderId="1" xfId="35" applyFont="1" applyFill="1" applyBorder="1" applyAlignment="1">
      <alignment horizontal="left" wrapText="1"/>
    </xf>
    <xf numFmtId="3" fontId="41" fillId="0" borderId="0" xfId="35" applyNumberFormat="1" applyFont="1" applyFill="1" applyBorder="1" applyAlignment="1">
      <alignment horizontal="right"/>
    </xf>
    <xf numFmtId="168" fontId="34" fillId="0" borderId="0" xfId="35" quotePrefix="1" applyNumberFormat="1" applyFont="1" applyFill="1" applyBorder="1" applyAlignment="1">
      <alignment horizontal="right"/>
    </xf>
    <xf numFmtId="0" fontId="34" fillId="0" borderId="1" xfId="33" applyFont="1" applyFill="1" applyBorder="1" applyAlignment="1">
      <alignment wrapText="1"/>
    </xf>
    <xf numFmtId="49" fontId="38" fillId="0" borderId="0" xfId="41" applyNumberFormat="1" applyFont="1" applyFill="1" applyBorder="1"/>
    <xf numFmtId="3" fontId="41" fillId="0" borderId="0" xfId="8" applyNumberFormat="1" applyFont="1" applyFill="1" applyBorder="1" applyAlignment="1">
      <alignment horizontal="right"/>
    </xf>
    <xf numFmtId="0" fontId="34" fillId="0" borderId="1" xfId="35" applyFont="1" applyFill="1" applyBorder="1" applyAlignment="1"/>
    <xf numFmtId="168" fontId="34" fillId="0" borderId="1" xfId="1" applyNumberFormat="1" applyFont="1" applyFill="1" applyBorder="1" applyAlignment="1">
      <alignment horizontal="right"/>
    </xf>
    <xf numFmtId="168" fontId="34" fillId="0" borderId="0" xfId="1" applyNumberFormat="1" applyFont="1" applyFill="1" applyBorder="1" applyAlignment="1">
      <alignment horizontal="right"/>
    </xf>
    <xf numFmtId="0" fontId="34" fillId="0" borderId="1" xfId="41" applyFont="1" applyFill="1" applyBorder="1" applyAlignment="1"/>
    <xf numFmtId="0" fontId="34" fillId="0" borderId="1" xfId="41" applyFont="1" applyFill="1" applyBorder="1"/>
    <xf numFmtId="1" fontId="34" fillId="0" borderId="1" xfId="41" quotePrefix="1" applyNumberFormat="1" applyFont="1" applyFill="1" applyBorder="1" applyAlignment="1">
      <alignment horizontal="right"/>
    </xf>
    <xf numFmtId="3" fontId="34" fillId="0" borderId="1" xfId="18" applyNumberFormat="1" applyFont="1" applyFill="1" applyBorder="1" applyAlignment="1">
      <alignment horizontal="right"/>
    </xf>
    <xf numFmtId="164" fontId="41" fillId="0" borderId="0" xfId="1" applyFont="1" applyFill="1" applyBorder="1" applyAlignment="1">
      <alignment horizontal="right"/>
    </xf>
    <xf numFmtId="164" fontId="33" fillId="0" borderId="0" xfId="1" quotePrefix="1" applyFont="1" applyFill="1" applyBorder="1" applyAlignment="1">
      <alignment horizontal="right"/>
    </xf>
    <xf numFmtId="164" fontId="34" fillId="0" borderId="1" xfId="8" quotePrefix="1" applyNumberFormat="1" applyFont="1" applyFill="1" applyBorder="1" applyAlignment="1">
      <alignment horizontal="right"/>
    </xf>
    <xf numFmtId="164" fontId="41" fillId="0" borderId="0" xfId="1" quotePrefix="1" applyFont="1" applyFill="1" applyBorder="1" applyAlignment="1">
      <alignment horizontal="right"/>
    </xf>
    <xf numFmtId="168" fontId="34" fillId="0" borderId="1" xfId="25" applyNumberFormat="1" applyFont="1" applyFill="1" applyBorder="1" applyAlignment="1">
      <alignment horizontal="right"/>
    </xf>
    <xf numFmtId="168" fontId="34" fillId="0" borderId="0" xfId="25" applyNumberFormat="1" applyFont="1" applyFill="1" applyBorder="1" applyAlignment="1">
      <alignment horizontal="right"/>
    </xf>
    <xf numFmtId="168" fontId="34" fillId="0" borderId="0" xfId="8" applyNumberFormat="1" applyFont="1" applyFill="1" applyBorder="1" applyAlignment="1">
      <alignment horizontal="right"/>
    </xf>
    <xf numFmtId="3" fontId="33" fillId="0" borderId="1" xfId="30" applyNumberFormat="1" applyFont="1" applyFill="1" applyBorder="1" applyAlignment="1">
      <alignment horizontal="right"/>
    </xf>
    <xf numFmtId="168" fontId="41" fillId="0" borderId="0" xfId="1" applyNumberFormat="1" applyFont="1" applyFill="1" applyBorder="1" applyAlignment="1">
      <alignment horizontal="right"/>
    </xf>
    <xf numFmtId="3" fontId="37" fillId="0" borderId="0" xfId="41" applyNumberFormat="1" applyFont="1" applyFill="1" applyBorder="1" applyAlignment="1">
      <alignment horizontal="right"/>
    </xf>
    <xf numFmtId="164" fontId="33" fillId="0" borderId="0" xfId="8" applyNumberFormat="1" applyFont="1" applyFill="1" applyBorder="1" applyAlignment="1">
      <alignment horizontal="right"/>
    </xf>
    <xf numFmtId="3" fontId="47" fillId="0" borderId="0" xfId="41" applyNumberFormat="1" applyFont="1" applyFill="1" applyBorder="1"/>
    <xf numFmtId="0" fontId="34" fillId="0" borderId="1" xfId="35" applyFont="1" applyFill="1" applyBorder="1" applyAlignment="1" applyProtection="1">
      <alignment wrapText="1"/>
      <protection locked="0"/>
    </xf>
    <xf numFmtId="168" fontId="34" fillId="0" borderId="1" xfId="35" applyNumberFormat="1" applyFont="1" applyFill="1" applyBorder="1" applyAlignment="1">
      <alignment horizontal="right"/>
    </xf>
    <xf numFmtId="0" fontId="34" fillId="0" borderId="1" xfId="35" applyFont="1" applyFill="1" applyBorder="1" applyAlignment="1" applyProtection="1">
      <alignment horizontal="right" wrapText="1"/>
      <protection locked="0"/>
    </xf>
    <xf numFmtId="168" fontId="34" fillId="0" borderId="1" xfId="30" applyNumberFormat="1" applyFont="1" applyFill="1" applyBorder="1" applyAlignment="1" applyProtection="1">
      <alignment horizontal="right" wrapText="1"/>
      <protection locked="0"/>
    </xf>
    <xf numFmtId="0" fontId="33" fillId="0" borderId="1" xfId="35" applyFont="1" applyFill="1" applyBorder="1" applyAlignment="1" applyProtection="1">
      <alignment horizontal="right" wrapText="1"/>
      <protection locked="0"/>
    </xf>
    <xf numFmtId="168" fontId="33" fillId="0" borderId="1" xfId="30" applyNumberFormat="1" applyFont="1" applyFill="1" applyBorder="1" applyAlignment="1" applyProtection="1">
      <alignment horizontal="right" wrapText="1"/>
      <protection locked="0"/>
    </xf>
    <xf numFmtId="0" fontId="34" fillId="0" borderId="1" xfId="35" applyFont="1" applyFill="1" applyBorder="1" applyAlignment="1">
      <alignment horizontal="left"/>
    </xf>
    <xf numFmtId="0" fontId="33" fillId="0" borderId="1" xfId="35" applyFont="1" applyFill="1" applyBorder="1" applyAlignment="1" applyProtection="1">
      <alignment wrapText="1"/>
      <protection locked="0"/>
    </xf>
    <xf numFmtId="3" fontId="33" fillId="0" borderId="1" xfId="35" applyNumberFormat="1" applyFont="1" applyFill="1" applyBorder="1" applyAlignment="1" applyProtection="1">
      <alignment horizontal="right" wrapText="1"/>
      <protection locked="0"/>
    </xf>
    <xf numFmtId="0" fontId="28" fillId="0" borderId="1" xfId="39" applyFont="1" applyFill="1" applyBorder="1" applyAlignment="1">
      <alignment horizontal="left" wrapText="1"/>
    </xf>
    <xf numFmtId="167" fontId="28" fillId="0" borderId="1" xfId="9" quotePrefix="1" applyNumberFormat="1" applyFont="1" applyFill="1" applyBorder="1" applyAlignment="1">
      <alignment horizontal="right"/>
    </xf>
    <xf numFmtId="167" fontId="30" fillId="0" borderId="1" xfId="9" quotePrefix="1" applyNumberFormat="1" applyFont="1" applyFill="1" applyBorder="1" applyAlignment="1">
      <alignment horizontal="right"/>
    </xf>
    <xf numFmtId="167" fontId="32" fillId="0" borderId="0" xfId="9" applyNumberFormat="1" applyFont="1" applyFill="1" applyBorder="1" applyAlignment="1"/>
    <xf numFmtId="0" fontId="24" fillId="0" borderId="1" xfId="56" applyFont="1" applyFill="1" applyBorder="1" applyAlignment="1">
      <alignment wrapText="1"/>
    </xf>
    <xf numFmtId="0" fontId="30" fillId="0" borderId="1" xfId="36" applyFont="1" applyFill="1" applyBorder="1" applyAlignment="1">
      <alignment horizontal="center" wrapText="1"/>
    </xf>
    <xf numFmtId="0" fontId="30" fillId="0" borderId="1" xfId="36" applyFont="1" applyFill="1" applyBorder="1" applyAlignment="1">
      <alignment horizontal="center"/>
    </xf>
    <xf numFmtId="167" fontId="32" fillId="0" borderId="0" xfId="9" applyNumberFormat="1" applyFont="1" applyFill="1" applyAlignment="1"/>
    <xf numFmtId="167" fontId="50" fillId="0" borderId="0" xfId="9" applyNumberFormat="1" applyFont="1" applyFill="1"/>
    <xf numFmtId="0" fontId="43" fillId="0" borderId="0" xfId="36" applyFont="1" applyFill="1"/>
    <xf numFmtId="0" fontId="28" fillId="0" borderId="1" xfId="36" applyFont="1" applyFill="1" applyBorder="1" applyAlignment="1">
      <alignment horizontal="center" wrapText="1"/>
    </xf>
    <xf numFmtId="0" fontId="28" fillId="0" borderId="1" xfId="36" applyFont="1" applyFill="1" applyBorder="1" applyAlignment="1">
      <alignment horizontal="center"/>
    </xf>
    <xf numFmtId="0" fontId="28" fillId="0" borderId="1" xfId="36" applyFont="1" applyFill="1" applyBorder="1" applyAlignment="1">
      <alignment wrapText="1"/>
    </xf>
    <xf numFmtId="0" fontId="28" fillId="0" borderId="1" xfId="36" quotePrefix="1" applyFont="1" applyFill="1" applyBorder="1" applyAlignment="1"/>
    <xf numFmtId="0" fontId="28" fillId="0" borderId="1" xfId="36" applyFont="1" applyFill="1" applyBorder="1" applyAlignment="1"/>
    <xf numFmtId="0" fontId="31" fillId="0" borderId="1" xfId="36" applyFont="1" applyFill="1" applyBorder="1" applyAlignment="1" applyProtection="1">
      <protection locked="0"/>
    </xf>
    <xf numFmtId="0" fontId="28" fillId="0" borderId="1" xfId="36" quotePrefix="1" applyFont="1" applyFill="1" applyBorder="1" applyAlignment="1">
      <alignment horizontal="right"/>
    </xf>
    <xf numFmtId="0" fontId="28" fillId="0" borderId="1" xfId="36" applyFont="1" applyFill="1" applyBorder="1" applyAlignment="1">
      <alignment horizontal="left"/>
    </xf>
    <xf numFmtId="1" fontId="28" fillId="0" borderId="1" xfId="36" quotePrefix="1" applyNumberFormat="1" applyFont="1" applyFill="1" applyBorder="1" applyAlignment="1">
      <alignment horizontal="right"/>
    </xf>
    <xf numFmtId="167" fontId="28" fillId="0" borderId="1" xfId="26" applyNumberFormat="1" applyFont="1" applyFill="1" applyBorder="1" applyAlignment="1"/>
    <xf numFmtId="0" fontId="28" fillId="0" borderId="1" xfId="36" applyFont="1" applyFill="1" applyBorder="1"/>
    <xf numFmtId="167" fontId="50" fillId="0" borderId="0" xfId="9" applyNumberFormat="1" applyFont="1" applyFill="1" applyBorder="1"/>
    <xf numFmtId="0" fontId="43" fillId="0" borderId="0" xfId="36" applyFont="1" applyFill="1" applyBorder="1"/>
    <xf numFmtId="49" fontId="28" fillId="0" borderId="1" xfId="36" applyNumberFormat="1" applyFont="1" applyFill="1" applyBorder="1" applyAlignment="1">
      <alignment horizontal="left" wrapText="1"/>
    </xf>
    <xf numFmtId="49" fontId="28" fillId="0" borderId="1" xfId="36" applyNumberFormat="1" applyFont="1" applyFill="1" applyBorder="1" applyAlignment="1">
      <alignment horizontal="right" wrapText="1"/>
    </xf>
    <xf numFmtId="49" fontId="28" fillId="0" borderId="1" xfId="36" applyNumberFormat="1" applyFont="1" applyFill="1" applyBorder="1" applyAlignment="1">
      <alignment wrapText="1"/>
    </xf>
    <xf numFmtId="0" fontId="28" fillId="0" borderId="1" xfId="39" applyFont="1" applyFill="1" applyBorder="1" applyAlignment="1">
      <alignment horizontal="right" wrapText="1"/>
    </xf>
    <xf numFmtId="0" fontId="50" fillId="0" borderId="0" xfId="9" applyNumberFormat="1" applyFont="1" applyFill="1"/>
    <xf numFmtId="0" fontId="50" fillId="0" borderId="0" xfId="9" applyNumberFormat="1" applyFont="1" applyFill="1" applyBorder="1"/>
    <xf numFmtId="167" fontId="53" fillId="0" borderId="0" xfId="9" applyNumberFormat="1" applyFont="1" applyFill="1"/>
    <xf numFmtId="0" fontId="54" fillId="0" borderId="0" xfId="36" applyFont="1" applyFill="1"/>
    <xf numFmtId="167" fontId="55" fillId="0" borderId="0" xfId="9" applyNumberFormat="1" applyFont="1" applyFill="1"/>
    <xf numFmtId="167" fontId="48" fillId="0" borderId="0" xfId="9" applyNumberFormat="1" applyFont="1" applyFill="1" applyAlignment="1"/>
    <xf numFmtId="167" fontId="49" fillId="0" borderId="0" xfId="9" applyNumberFormat="1" applyFont="1" applyFill="1"/>
    <xf numFmtId="0" fontId="44" fillId="0" borderId="0" xfId="36" applyFont="1" applyFill="1"/>
    <xf numFmtId="0" fontId="30" fillId="0" borderId="1" xfId="36" quotePrefix="1" applyFont="1" applyFill="1" applyBorder="1" applyAlignment="1"/>
    <xf numFmtId="0" fontId="28" fillId="0" borderId="0" xfId="36" applyFont="1" applyFill="1" applyBorder="1" applyAlignment="1"/>
    <xf numFmtId="0" fontId="31" fillId="0" borderId="0" xfId="36" applyFont="1" applyFill="1" applyBorder="1" applyAlignment="1" applyProtection="1">
      <protection locked="0"/>
    </xf>
    <xf numFmtId="0" fontId="28" fillId="0" borderId="0" xfId="36" quotePrefix="1" applyFont="1" applyFill="1" applyBorder="1" applyAlignment="1">
      <alignment horizontal="right"/>
    </xf>
    <xf numFmtId="0" fontId="28" fillId="0" borderId="0" xfId="36" applyFont="1" applyFill="1" applyBorder="1" applyAlignment="1">
      <alignment horizontal="left"/>
    </xf>
    <xf numFmtId="49" fontId="28" fillId="0" borderId="0" xfId="36" applyNumberFormat="1" applyFont="1" applyFill="1" applyBorder="1" applyAlignment="1">
      <alignment wrapText="1"/>
    </xf>
    <xf numFmtId="1" fontId="28" fillId="0" borderId="0" xfId="36" quotePrefix="1" applyNumberFormat="1" applyFont="1" applyFill="1" applyBorder="1" applyAlignment="1">
      <alignment horizontal="right"/>
    </xf>
    <xf numFmtId="167" fontId="28" fillId="0" borderId="0" xfId="26" applyNumberFormat="1" applyFont="1" applyFill="1" applyBorder="1" applyAlignment="1"/>
    <xf numFmtId="0" fontId="52" fillId="0" borderId="1" xfId="39" applyFont="1" applyFill="1" applyBorder="1" applyAlignment="1">
      <alignment wrapText="1"/>
    </xf>
    <xf numFmtId="0" fontId="43" fillId="0" borderId="7" xfId="36" applyFont="1" applyFill="1" applyBorder="1"/>
    <xf numFmtId="0" fontId="43" fillId="0" borderId="1" xfId="36" applyFont="1" applyFill="1" applyBorder="1"/>
    <xf numFmtId="167" fontId="32" fillId="0" borderId="0" xfId="9" applyNumberFormat="1" applyFont="1" applyFill="1" applyBorder="1" applyAlignment="1">
      <alignment wrapText="1"/>
    </xf>
    <xf numFmtId="49" fontId="24" fillId="0" borderId="1" xfId="36" applyNumberFormat="1" applyFont="1" applyFill="1" applyBorder="1" applyAlignment="1">
      <alignment horizontal="right" wrapText="1"/>
    </xf>
    <xf numFmtId="49" fontId="28" fillId="0" borderId="0" xfId="36" applyNumberFormat="1" applyFont="1" applyFill="1" applyBorder="1" applyAlignment="1">
      <alignment horizontal="left" wrapText="1"/>
    </xf>
    <xf numFmtId="0" fontId="28" fillId="0" borderId="0" xfId="36" applyFont="1" applyFill="1" applyBorder="1" applyAlignment="1" applyProtection="1">
      <alignment wrapText="1"/>
      <protection locked="0"/>
    </xf>
    <xf numFmtId="0" fontId="56" fillId="0" borderId="0" xfId="36" applyFont="1" applyFill="1" applyBorder="1" applyAlignment="1" applyProtection="1">
      <alignment wrapText="1"/>
      <protection locked="0"/>
    </xf>
    <xf numFmtId="167" fontId="56" fillId="0" borderId="0" xfId="26" applyNumberFormat="1" applyFont="1" applyFill="1" applyBorder="1" applyAlignment="1"/>
    <xf numFmtId="0" fontId="24" fillId="0" borderId="1" xfId="36" applyFont="1" applyFill="1" applyBorder="1" applyAlignment="1"/>
    <xf numFmtId="0" fontId="24" fillId="0" borderId="1" xfId="36" applyFont="1" applyFill="1" applyBorder="1" applyAlignment="1" applyProtection="1">
      <protection locked="0"/>
    </xf>
    <xf numFmtId="0" fontId="24" fillId="0" borderId="1" xfId="36" quotePrefix="1" applyFont="1" applyFill="1" applyBorder="1" applyAlignment="1">
      <alignment horizontal="right"/>
    </xf>
    <xf numFmtId="0" fontId="24" fillId="0" borderId="1" xfId="36" applyFont="1" applyFill="1" applyBorder="1" applyAlignment="1">
      <alignment horizontal="left"/>
    </xf>
    <xf numFmtId="49" fontId="24" fillId="0" borderId="1" xfId="36" applyNumberFormat="1" applyFont="1" applyFill="1" applyBorder="1" applyAlignment="1">
      <alignment horizontal="left" wrapText="1"/>
    </xf>
    <xf numFmtId="1" fontId="24" fillId="0" borderId="1" xfId="36" quotePrefix="1" applyNumberFormat="1" applyFont="1" applyFill="1" applyBorder="1" applyAlignment="1">
      <alignment horizontal="right"/>
    </xf>
    <xf numFmtId="167" fontId="24" fillId="0" borderId="1" xfId="26" applyNumberFormat="1" applyFont="1" applyFill="1" applyBorder="1" applyAlignment="1"/>
    <xf numFmtId="0" fontId="57" fillId="0" borderId="0" xfId="36" applyFont="1" applyFill="1"/>
    <xf numFmtId="167" fontId="38" fillId="0" borderId="1" xfId="26" applyNumberFormat="1" applyFont="1" applyFill="1" applyBorder="1" applyAlignment="1"/>
    <xf numFmtId="167" fontId="34" fillId="0" borderId="1" xfId="26" applyNumberFormat="1" applyFont="1" applyFill="1" applyBorder="1" applyAlignment="1"/>
    <xf numFmtId="0" fontId="30" fillId="0" borderId="1" xfId="36" applyFont="1" applyFill="1" applyBorder="1" applyAlignment="1"/>
    <xf numFmtId="0" fontId="30" fillId="0" borderId="1" xfId="36" applyFont="1" applyFill="1" applyBorder="1" applyAlignment="1" applyProtection="1">
      <alignment wrapText="1"/>
      <protection locked="0"/>
    </xf>
    <xf numFmtId="167" fontId="30" fillId="0" borderId="1" xfId="36" applyNumberFormat="1" applyFont="1" applyFill="1" applyBorder="1" applyAlignment="1"/>
    <xf numFmtId="167" fontId="56" fillId="0" borderId="0" xfId="36" applyNumberFormat="1" applyFont="1" applyFill="1" applyBorder="1" applyAlignment="1"/>
    <xf numFmtId="0" fontId="27" fillId="0" borderId="1" xfId="36" applyFont="1" applyFill="1" applyBorder="1" applyAlignment="1" applyProtection="1">
      <alignment horizontal="left"/>
      <protection locked="0"/>
    </xf>
    <xf numFmtId="0" fontId="58" fillId="0" borderId="1" xfId="36" applyFont="1" applyFill="1" applyBorder="1" applyAlignment="1" applyProtection="1">
      <alignment horizontal="center" wrapText="1"/>
      <protection locked="0"/>
    </xf>
    <xf numFmtId="0" fontId="23" fillId="0" borderId="1" xfId="56" applyFont="1" applyFill="1" applyBorder="1" applyAlignment="1">
      <alignment wrapText="1"/>
    </xf>
    <xf numFmtId="0" fontId="27" fillId="0" borderId="1" xfId="36" applyFont="1" applyFill="1" applyBorder="1" applyAlignment="1" applyProtection="1">
      <alignment wrapText="1"/>
      <protection locked="0"/>
    </xf>
    <xf numFmtId="0" fontId="28" fillId="0" borderId="1" xfId="36" applyFont="1" applyFill="1" applyBorder="1" applyAlignment="1">
      <alignment horizontal="right"/>
    </xf>
    <xf numFmtId="167" fontId="30" fillId="0" borderId="1" xfId="26" applyNumberFormat="1" applyFont="1" applyFill="1" applyBorder="1" applyAlignment="1"/>
    <xf numFmtId="0" fontId="24" fillId="0" borderId="1" xfId="3" applyFont="1" applyFill="1" applyBorder="1" applyAlignment="1">
      <alignment wrapText="1"/>
    </xf>
    <xf numFmtId="43" fontId="30" fillId="0" borderId="1" xfId="9" applyFont="1" applyFill="1" applyBorder="1" applyAlignment="1"/>
    <xf numFmtId="167" fontId="30" fillId="0" borderId="1" xfId="9" applyNumberFormat="1" applyFont="1" applyFill="1" applyBorder="1" applyAlignment="1"/>
    <xf numFmtId="43" fontId="30" fillId="0" borderId="0" xfId="9" applyFont="1" applyFill="1" applyBorder="1" applyAlignment="1"/>
    <xf numFmtId="0" fontId="59" fillId="0" borderId="1" xfId="36" quotePrefix="1" applyFont="1" applyFill="1" applyBorder="1" applyAlignment="1">
      <alignment horizontal="right"/>
    </xf>
    <xf numFmtId="0" fontId="59" fillId="0" borderId="1" xfId="36" applyFont="1" applyFill="1" applyBorder="1" applyAlignment="1">
      <alignment horizontal="left"/>
    </xf>
    <xf numFmtId="49" fontId="59" fillId="0" borderId="1" xfId="36" applyNumberFormat="1" applyFont="1" applyFill="1" applyBorder="1" applyAlignment="1">
      <alignment horizontal="right" wrapText="1"/>
    </xf>
    <xf numFmtId="167" fontId="59" fillId="0" borderId="1" xfId="26" applyNumberFormat="1" applyFont="1" applyFill="1" applyBorder="1" applyAlignment="1"/>
    <xf numFmtId="0" fontId="52" fillId="0" borderId="1" xfId="36" applyFont="1" applyFill="1" applyBorder="1" applyAlignment="1"/>
    <xf numFmtId="0" fontId="28" fillId="0" borderId="0" xfId="36" applyFont="1" applyFill="1" applyAlignment="1"/>
    <xf numFmtId="0" fontId="33" fillId="0" borderId="1" xfId="36" applyFont="1" applyFill="1" applyBorder="1" applyAlignment="1">
      <alignment horizontal="center" wrapText="1"/>
    </xf>
    <xf numFmtId="0" fontId="47" fillId="0" borderId="0" xfId="36" applyFont="1" applyFill="1" applyAlignment="1"/>
    <xf numFmtId="0" fontId="47" fillId="0" borderId="0" xfId="36" applyFont="1" applyFill="1"/>
    <xf numFmtId="0" fontId="2" fillId="0" borderId="0" xfId="36" applyFill="1"/>
    <xf numFmtId="0" fontId="2" fillId="0" borderId="0" xfId="36" applyFill="1" applyAlignment="1"/>
    <xf numFmtId="0" fontId="33" fillId="0" borderId="1" xfId="36" quotePrefix="1" applyFont="1" applyFill="1" applyBorder="1" applyAlignment="1" applyProtection="1">
      <protection locked="0"/>
    </xf>
    <xf numFmtId="0" fontId="34" fillId="0" borderId="1" xfId="36" applyFont="1" applyFill="1" applyBorder="1" applyAlignment="1" applyProtection="1">
      <protection locked="0"/>
    </xf>
    <xf numFmtId="0" fontId="34" fillId="0" borderId="1" xfId="36" applyFont="1" applyFill="1" applyBorder="1" applyAlignment="1" applyProtection="1">
      <alignment wrapText="1"/>
      <protection locked="0"/>
    </xf>
    <xf numFmtId="0" fontId="62" fillId="0" borderId="0" xfId="36" applyFont="1" applyFill="1" applyAlignment="1"/>
    <xf numFmtId="0" fontId="62" fillId="0" borderId="0" xfId="36" applyFont="1" applyFill="1"/>
    <xf numFmtId="0" fontId="3" fillId="0" borderId="0" xfId="36" applyFont="1" applyFill="1"/>
    <xf numFmtId="43" fontId="47" fillId="0" borderId="0" xfId="9" applyFont="1" applyFill="1" applyAlignment="1"/>
    <xf numFmtId="167" fontId="62" fillId="0" borderId="0" xfId="36" applyNumberFormat="1" applyFont="1" applyFill="1" applyAlignment="1"/>
    <xf numFmtId="0" fontId="34" fillId="0" borderId="1" xfId="34" applyFont="1" applyFill="1" applyBorder="1" applyAlignment="1" applyProtection="1">
      <alignment wrapText="1"/>
      <protection locked="0"/>
    </xf>
    <xf numFmtId="0" fontId="33" fillId="0" borderId="1" xfId="36" applyFont="1" applyFill="1" applyBorder="1" applyAlignment="1">
      <alignment horizontal="left" wrapText="1"/>
    </xf>
    <xf numFmtId="167" fontId="34" fillId="0" borderId="1" xfId="14" applyNumberFormat="1" applyFont="1" applyFill="1" applyBorder="1" applyAlignment="1" applyProtection="1">
      <protection locked="0"/>
    </xf>
    <xf numFmtId="0" fontId="34" fillId="0" borderId="1" xfId="39" applyFont="1" applyFill="1" applyBorder="1" applyAlignment="1">
      <alignment horizontal="left" wrapText="1"/>
    </xf>
    <xf numFmtId="167" fontId="33" fillId="0" borderId="1" xfId="9" applyNumberFormat="1" applyFont="1" applyFill="1" applyBorder="1" applyAlignment="1" applyProtection="1">
      <protection locked="0"/>
    </xf>
    <xf numFmtId="167" fontId="47" fillId="0" borderId="0" xfId="36" applyNumberFormat="1" applyFont="1" applyFill="1" applyAlignment="1"/>
    <xf numFmtId="0" fontId="34" fillId="0" borderId="0" xfId="39" applyFont="1" applyFill="1" applyBorder="1" applyAlignment="1">
      <alignment horizontal="center" wrapText="1"/>
    </xf>
    <xf numFmtId="0" fontId="34" fillId="0" borderId="1" xfId="34" applyFont="1" applyFill="1" applyBorder="1" applyAlignment="1" applyProtection="1">
      <protection locked="0"/>
    </xf>
    <xf numFmtId="167" fontId="47" fillId="0" borderId="0" xfId="9" applyNumberFormat="1" applyFont="1" applyFill="1" applyAlignment="1"/>
    <xf numFmtId="0" fontId="33" fillId="0" borderId="0" xfId="36" applyFont="1" applyFill="1" applyBorder="1" applyAlignment="1" applyProtection="1">
      <alignment wrapText="1"/>
      <protection locked="0"/>
    </xf>
    <xf numFmtId="0" fontId="33" fillId="0" borderId="1" xfId="39" applyFont="1" applyFill="1" applyBorder="1" applyAlignment="1">
      <alignment horizontal="left" wrapText="1"/>
    </xf>
    <xf numFmtId="0" fontId="34" fillId="0" borderId="1" xfId="36" applyFont="1" applyFill="1" applyBorder="1" applyProtection="1">
      <protection locked="0"/>
    </xf>
    <xf numFmtId="0" fontId="34" fillId="0" borderId="0" xfId="36" applyFont="1" applyFill="1" applyBorder="1" applyAlignment="1" applyProtection="1">
      <alignment horizontal="center"/>
      <protection locked="0"/>
    </xf>
    <xf numFmtId="0" fontId="34" fillId="0" borderId="0" xfId="36" applyFont="1" applyFill="1" applyBorder="1" applyAlignment="1" applyProtection="1">
      <alignment horizontal="center" wrapText="1"/>
      <protection locked="0"/>
    </xf>
    <xf numFmtId="167" fontId="47" fillId="0" borderId="0" xfId="36" applyNumberFormat="1" applyFont="1" applyFill="1"/>
    <xf numFmtId="167" fontId="34" fillId="0" borderId="1" xfId="6" applyNumberFormat="1" applyFont="1" applyFill="1" applyBorder="1" applyProtection="1">
      <protection locked="0"/>
    </xf>
    <xf numFmtId="167" fontId="33" fillId="0" borderId="1" xfId="14" applyNumberFormat="1" applyFont="1" applyFill="1" applyBorder="1" applyProtection="1">
      <protection locked="0"/>
    </xf>
    <xf numFmtId="0" fontId="2" fillId="0" borderId="1" xfId="36" applyFill="1" applyBorder="1"/>
    <xf numFmtId="0" fontId="47" fillId="0" borderId="0" xfId="34" applyFont="1" applyFill="1"/>
    <xf numFmtId="0" fontId="2" fillId="0" borderId="0" xfId="34" applyFill="1"/>
    <xf numFmtId="0" fontId="2" fillId="0" borderId="0" xfId="36" applyFill="1" applyBorder="1"/>
    <xf numFmtId="0" fontId="34" fillId="0" borderId="1" xfId="36" applyFont="1" applyFill="1" applyBorder="1" applyAlignment="1">
      <alignment wrapText="1"/>
    </xf>
    <xf numFmtId="167" fontId="47" fillId="0" borderId="0" xfId="34" applyNumberFormat="1" applyFont="1" applyFill="1"/>
    <xf numFmtId="0" fontId="34" fillId="0" borderId="1" xfId="36" applyFont="1" applyFill="1" applyBorder="1" applyAlignment="1" applyProtection="1">
      <alignment horizontal="left" wrapText="1"/>
      <protection locked="0"/>
    </xf>
    <xf numFmtId="49" fontId="34" fillId="0" borderId="0" xfId="36" applyNumberFormat="1" applyFont="1" applyFill="1" applyBorder="1" applyAlignment="1">
      <alignment horizontal="center"/>
    </xf>
    <xf numFmtId="49" fontId="33" fillId="0" borderId="0" xfId="36" applyNumberFormat="1" applyFont="1" applyFill="1" applyBorder="1" applyAlignment="1">
      <alignment horizontal="left"/>
    </xf>
    <xf numFmtId="167" fontId="34" fillId="0" borderId="1" xfId="14" applyNumberFormat="1" applyFont="1" applyFill="1" applyBorder="1" applyProtection="1">
      <protection locked="0"/>
    </xf>
    <xf numFmtId="0" fontId="34" fillId="0" borderId="1" xfId="36" applyFont="1" applyFill="1" applyBorder="1"/>
    <xf numFmtId="167" fontId="62" fillId="0" borderId="0" xfId="36" applyNumberFormat="1" applyFont="1" applyFill="1"/>
    <xf numFmtId="0" fontId="63" fillId="0" borderId="0" xfId="34" applyFont="1" applyFill="1"/>
    <xf numFmtId="0" fontId="64" fillId="0" borderId="0" xfId="34" applyFont="1" applyFill="1"/>
    <xf numFmtId="0" fontId="34" fillId="0" borderId="0" xfId="36" applyFont="1" applyFill="1" applyBorder="1" applyAlignment="1">
      <alignment horizontal="center"/>
    </xf>
    <xf numFmtId="167" fontId="65" fillId="0" borderId="0" xfId="9" applyNumberFormat="1" applyFont="1" applyFill="1"/>
    <xf numFmtId="167" fontId="47" fillId="0" borderId="0" xfId="9" applyNumberFormat="1" applyFont="1" applyFill="1" applyBorder="1"/>
    <xf numFmtId="0" fontId="47" fillId="0" borderId="0" xfId="34" applyFont="1" applyFill="1" applyBorder="1"/>
    <xf numFmtId="0" fontId="2" fillId="0" borderId="0" xfId="34" applyFill="1" applyBorder="1"/>
    <xf numFmtId="0" fontId="47" fillId="0" borderId="0" xfId="36" applyFont="1" applyFill="1" applyBorder="1"/>
    <xf numFmtId="167" fontId="33" fillId="0" borderId="1" xfId="36" applyNumberFormat="1" applyFont="1" applyFill="1" applyBorder="1"/>
    <xf numFmtId="0" fontId="33" fillId="0" borderId="0" xfId="36" applyFont="1" applyFill="1" applyBorder="1"/>
    <xf numFmtId="0" fontId="2" fillId="0" borderId="7" xfId="36" applyFill="1" applyBorder="1"/>
    <xf numFmtId="0" fontId="2" fillId="0" borderId="8" xfId="36" applyFill="1" applyBorder="1"/>
    <xf numFmtId="0" fontId="2" fillId="0" borderId="4" xfId="36" applyFill="1" applyBorder="1"/>
    <xf numFmtId="43" fontId="47" fillId="0" borderId="0" xfId="9" applyFont="1" applyFill="1"/>
    <xf numFmtId="43" fontId="47" fillId="0" borderId="0" xfId="36" applyNumberFormat="1" applyFont="1" applyFill="1"/>
    <xf numFmtId="49" fontId="34" fillId="0" borderId="1" xfId="36" applyNumberFormat="1" applyFont="1" applyFill="1" applyBorder="1"/>
    <xf numFmtId="49" fontId="34" fillId="0" borderId="1" xfId="36" applyNumberFormat="1" applyFont="1" applyFill="1" applyBorder="1" applyAlignment="1">
      <alignment horizontal="right" wrapText="1"/>
    </xf>
    <xf numFmtId="49" fontId="34" fillId="0" borderId="1" xfId="34" applyNumberFormat="1" applyFont="1" applyFill="1" applyBorder="1" applyAlignment="1">
      <alignment horizontal="right" wrapText="1"/>
    </xf>
    <xf numFmtId="0" fontId="34" fillId="0" borderId="1" xfId="36" quotePrefix="1" applyFont="1" applyFill="1" applyBorder="1" applyAlignment="1">
      <alignment horizontal="left" wrapText="1"/>
    </xf>
    <xf numFmtId="0" fontId="34" fillId="0" borderId="1" xfId="36" quotePrefix="1" applyFont="1" applyFill="1" applyBorder="1" applyAlignment="1">
      <alignment horizontal="left"/>
    </xf>
    <xf numFmtId="0" fontId="34" fillId="0" borderId="0" xfId="36" applyFont="1" applyFill="1" applyBorder="1" applyAlignment="1">
      <alignment horizontal="center" wrapText="1"/>
    </xf>
    <xf numFmtId="0" fontId="34" fillId="0" borderId="1" xfId="56" applyFont="1" applyFill="1" applyBorder="1">
      <alignment wrapText="1"/>
    </xf>
    <xf numFmtId="167" fontId="66" fillId="0" borderId="0" xfId="56" applyNumberFormat="1" applyFont="1" applyFill="1" applyBorder="1">
      <alignment wrapText="1"/>
    </xf>
    <xf numFmtId="167" fontId="62" fillId="0" borderId="0" xfId="9" applyNumberFormat="1" applyFont="1" applyFill="1"/>
    <xf numFmtId="167" fontId="33" fillId="0" borderId="1" xfId="56" applyNumberFormat="1" applyFont="1" applyFill="1" applyBorder="1">
      <alignment wrapText="1"/>
    </xf>
    <xf numFmtId="0" fontId="62" fillId="0" borderId="0" xfId="36" applyFont="1" applyFill="1" applyBorder="1"/>
    <xf numFmtId="0" fontId="3" fillId="0" borderId="0" xfId="36" applyFont="1" applyFill="1" applyBorder="1"/>
    <xf numFmtId="0" fontId="2" fillId="0" borderId="0" xfId="36" applyFont="1" applyFill="1"/>
    <xf numFmtId="0" fontId="62" fillId="0" borderId="0" xfId="34" applyFont="1" applyFill="1" applyBorder="1"/>
    <xf numFmtId="0" fontId="3" fillId="0" borderId="0" xfId="34" applyFont="1" applyFill="1" applyBorder="1"/>
    <xf numFmtId="0" fontId="62" fillId="0" borderId="0" xfId="34" applyFont="1" applyFill="1"/>
    <xf numFmtId="0" fontId="3" fillId="0" borderId="0" xfId="34" applyFont="1" applyFill="1"/>
    <xf numFmtId="167" fontId="47" fillId="0" borderId="0" xfId="9" applyNumberFormat="1" applyFont="1" applyFill="1"/>
    <xf numFmtId="167" fontId="33" fillId="0" borderId="1" xfId="36" applyNumberFormat="1" applyFont="1" applyFill="1" applyBorder="1" applyAlignment="1" applyProtection="1">
      <alignment wrapText="1"/>
      <protection locked="0"/>
    </xf>
    <xf numFmtId="167" fontId="62" fillId="0" borderId="0" xfId="36" applyNumberFormat="1" applyFont="1" applyFill="1" applyAlignment="1">
      <alignment horizontal="right"/>
    </xf>
    <xf numFmtId="0" fontId="34" fillId="0" borderId="0" xfId="56" applyFont="1" applyFill="1" applyBorder="1">
      <alignment wrapText="1"/>
    </xf>
    <xf numFmtId="0" fontId="34" fillId="0" borderId="0" xfId="36" applyFont="1" applyFill="1"/>
    <xf numFmtId="0" fontId="34" fillId="0" borderId="0" xfId="56" applyFont="1" applyFill="1">
      <alignment wrapText="1"/>
    </xf>
    <xf numFmtId="0" fontId="23" fillId="0" borderId="1" xfId="57" applyFont="1" applyFill="1" applyBorder="1" applyAlignment="1">
      <alignment horizontal="center" wrapText="1"/>
    </xf>
    <xf numFmtId="0" fontId="23" fillId="0" borderId="1" xfId="57" applyFont="1" applyFill="1" applyBorder="1" applyAlignment="1" applyProtection="1">
      <alignment horizontal="center" wrapText="1"/>
      <protection locked="0"/>
    </xf>
    <xf numFmtId="0" fontId="30" fillId="0" borderId="0" xfId="57" applyFont="1" applyFill="1" applyBorder="1" applyAlignment="1">
      <alignment horizontal="center" vertical="top" wrapText="1"/>
    </xf>
    <xf numFmtId="43" fontId="48" fillId="0" borderId="0" xfId="58" applyFont="1" applyFill="1" applyBorder="1" applyAlignment="1">
      <alignment horizontal="center" wrapText="1"/>
    </xf>
    <xf numFmtId="43" fontId="49" fillId="0" borderId="0" xfId="58" applyFont="1" applyFill="1" applyBorder="1" applyAlignment="1">
      <alignment wrapText="1"/>
    </xf>
    <xf numFmtId="0" fontId="24" fillId="0" borderId="1" xfId="57" applyFont="1" applyFill="1" applyBorder="1" applyAlignment="1" applyProtection="1">
      <alignment horizontal="left" wrapText="1"/>
      <protection locked="0"/>
    </xf>
    <xf numFmtId="0" fontId="30" fillId="0" borderId="0" xfId="57" applyFont="1" applyFill="1" applyBorder="1" applyAlignment="1">
      <alignment horizontal="left" wrapText="1"/>
    </xf>
    <xf numFmtId="43" fontId="48" fillId="0" borderId="0" xfId="58" applyFont="1" applyFill="1" applyBorder="1" applyAlignment="1">
      <alignment horizontal="left" wrapText="1"/>
    </xf>
    <xf numFmtId="43" fontId="49" fillId="0" borderId="0" xfId="58" applyFont="1" applyFill="1" applyBorder="1" applyAlignment="1">
      <alignment horizontal="left" wrapText="1"/>
    </xf>
    <xf numFmtId="0" fontId="24" fillId="0" borderId="1" xfId="57" quotePrefix="1" applyFont="1" applyFill="1" applyBorder="1" applyAlignment="1">
      <alignment horizontal="left"/>
    </xf>
    <xf numFmtId="0" fontId="24" fillId="0" borderId="1" xfId="57" applyFont="1" applyFill="1" applyBorder="1" applyAlignment="1">
      <alignment horizontal="left" wrapText="1"/>
    </xf>
    <xf numFmtId="167" fontId="24" fillId="0" borderId="1" xfId="58" applyNumberFormat="1" applyFont="1" applyFill="1" applyBorder="1" applyAlignment="1">
      <alignment horizontal="left"/>
    </xf>
    <xf numFmtId="167" fontId="24" fillId="0" borderId="1" xfId="58" quotePrefix="1" applyNumberFormat="1" applyFont="1" applyFill="1" applyBorder="1" applyAlignment="1">
      <alignment horizontal="right"/>
    </xf>
    <xf numFmtId="167" fontId="24" fillId="0" borderId="1" xfId="58" applyNumberFormat="1" applyFont="1" applyFill="1" applyBorder="1"/>
    <xf numFmtId="164" fontId="30" fillId="0" borderId="0" xfId="59" quotePrefix="1" applyFont="1" applyFill="1" applyBorder="1" applyProtection="1">
      <protection locked="0"/>
    </xf>
    <xf numFmtId="43" fontId="32" fillId="0" borderId="0" xfId="58" applyFont="1" applyFill="1" applyBorder="1" applyAlignment="1" applyProtection="1">
      <protection locked="0"/>
    </xf>
    <xf numFmtId="43" fontId="50" fillId="0" borderId="0" xfId="58" applyFont="1" applyFill="1" applyBorder="1" applyAlignment="1" applyProtection="1">
      <protection locked="0"/>
    </xf>
    <xf numFmtId="0" fontId="24" fillId="0" borderId="1" xfId="60" applyFont="1" applyFill="1" applyBorder="1" applyAlignment="1" applyProtection="1">
      <alignment wrapText="1"/>
      <protection locked="0"/>
    </xf>
    <xf numFmtId="0" fontId="24" fillId="0" borderId="1" xfId="60" applyFont="1" applyFill="1" applyBorder="1" applyAlignment="1">
      <alignment horizontal="left" wrapText="1"/>
    </xf>
    <xf numFmtId="0" fontId="24" fillId="0" borderId="0" xfId="57" quotePrefix="1" applyFont="1" applyFill="1" applyBorder="1" applyAlignment="1">
      <alignment horizontal="left"/>
    </xf>
    <xf numFmtId="0" fontId="24" fillId="0" borderId="0" xfId="60" applyFont="1" applyFill="1" applyBorder="1" applyAlignment="1">
      <alignment horizontal="left" wrapText="1"/>
    </xf>
    <xf numFmtId="167" fontId="24" fillId="0" borderId="0" xfId="58" applyNumberFormat="1" applyFont="1" applyFill="1" applyBorder="1" applyAlignment="1">
      <alignment horizontal="left"/>
    </xf>
    <xf numFmtId="167" fontId="24" fillId="0" borderId="0" xfId="58" quotePrefix="1" applyNumberFormat="1" applyFont="1" applyFill="1" applyBorder="1" applyAlignment="1">
      <alignment horizontal="right"/>
    </xf>
    <xf numFmtId="167" fontId="24" fillId="0" borderId="0" xfId="58" applyNumberFormat="1" applyFont="1" applyFill="1" applyBorder="1"/>
    <xf numFmtId="0" fontId="24" fillId="0" borderId="1" xfId="60" applyFont="1" applyFill="1" applyBorder="1" applyAlignment="1" applyProtection="1">
      <protection locked="0"/>
    </xf>
    <xf numFmtId="0" fontId="24" fillId="0" borderId="1" xfId="57" applyFont="1" applyFill="1" applyBorder="1"/>
    <xf numFmtId="0" fontId="24" fillId="0" borderId="1" xfId="57" applyFont="1" applyFill="1" applyBorder="1" applyAlignment="1">
      <alignment horizontal="left"/>
    </xf>
    <xf numFmtId="167" fontId="23" fillId="0" borderId="1" xfId="58" quotePrefix="1" applyNumberFormat="1" applyFont="1" applyFill="1" applyBorder="1" applyAlignment="1">
      <alignment horizontal="right"/>
    </xf>
    <xf numFmtId="167" fontId="23" fillId="0" borderId="1" xfId="58" applyNumberFormat="1" applyFont="1" applyFill="1" applyBorder="1"/>
    <xf numFmtId="0" fontId="1" fillId="0" borderId="0" xfId="57" applyFont="1" applyFill="1" applyBorder="1"/>
    <xf numFmtId="0" fontId="1" fillId="0" borderId="0" xfId="57" applyFont="1" applyFill="1"/>
    <xf numFmtId="0" fontId="24" fillId="0" borderId="1" xfId="57" applyFont="1" applyFill="1" applyBorder="1" applyAlignment="1" applyProtection="1">
      <alignment wrapText="1"/>
      <protection locked="0"/>
    </xf>
    <xf numFmtId="167" fontId="28" fillId="0" borderId="0" xfId="59" applyNumberFormat="1" applyFont="1" applyFill="1" applyBorder="1" applyProtection="1">
      <protection locked="0"/>
    </xf>
    <xf numFmtId="43" fontId="50" fillId="0" borderId="0" xfId="58" applyFont="1" applyFill="1" applyBorder="1" applyAlignment="1" applyProtection="1">
      <alignment wrapText="1"/>
      <protection locked="0"/>
    </xf>
    <xf numFmtId="167" fontId="24" fillId="0" borderId="1" xfId="57" quotePrefix="1" applyNumberFormat="1" applyFont="1" applyFill="1" applyBorder="1" applyAlignment="1">
      <alignment horizontal="right"/>
    </xf>
    <xf numFmtId="3" fontId="24" fillId="0" borderId="1" xfId="57" quotePrefix="1" applyNumberFormat="1" applyFont="1" applyFill="1" applyBorder="1" applyAlignment="1">
      <alignment horizontal="right"/>
    </xf>
    <xf numFmtId="0" fontId="24" fillId="0" borderId="1" xfId="57" quotePrefix="1" applyFont="1" applyFill="1" applyBorder="1" applyAlignment="1">
      <alignment horizontal="right"/>
    </xf>
    <xf numFmtId="0" fontId="23" fillId="0" borderId="1" xfId="57" applyFont="1" applyFill="1" applyBorder="1"/>
    <xf numFmtId="0" fontId="24" fillId="0" borderId="0" xfId="57" applyFont="1" applyFill="1" applyBorder="1"/>
    <xf numFmtId="0" fontId="23" fillId="0" borderId="0" xfId="57" applyFont="1" applyFill="1" applyBorder="1" applyAlignment="1">
      <alignment horizontal="left" wrapText="1"/>
    </xf>
    <xf numFmtId="0" fontId="24" fillId="0" borderId="0" xfId="57" applyFont="1" applyFill="1" applyBorder="1" applyAlignment="1">
      <alignment horizontal="left"/>
    </xf>
    <xf numFmtId="49" fontId="24" fillId="0" borderId="1" xfId="57" quotePrefix="1" applyNumberFormat="1" applyFont="1" applyFill="1" applyBorder="1"/>
    <xf numFmtId="167" fontId="24" fillId="0" borderId="1" xfId="57" applyNumberFormat="1" applyFont="1" applyFill="1" applyBorder="1" applyAlignment="1">
      <alignment horizontal="left"/>
    </xf>
    <xf numFmtId="167" fontId="23" fillId="0" borderId="1" xfId="57" applyNumberFormat="1" applyFont="1" applyFill="1" applyBorder="1" applyAlignment="1">
      <alignment horizontal="left"/>
    </xf>
    <xf numFmtId="167" fontId="24" fillId="0" borderId="1" xfId="57" applyNumberFormat="1" applyFont="1" applyFill="1" applyBorder="1"/>
    <xf numFmtId="0" fontId="24" fillId="0" borderId="1" xfId="57" applyFont="1" applyFill="1" applyBorder="1" applyAlignment="1">
      <alignment wrapText="1"/>
    </xf>
    <xf numFmtId="49" fontId="23" fillId="0" borderId="1" xfId="57" quotePrefix="1" applyNumberFormat="1" applyFont="1" applyFill="1" applyBorder="1"/>
    <xf numFmtId="49" fontId="23" fillId="0" borderId="0" xfId="57" quotePrefix="1" applyNumberFormat="1" applyFont="1" applyFill="1" applyBorder="1"/>
    <xf numFmtId="167" fontId="24" fillId="0" borderId="0" xfId="57" applyNumberFormat="1" applyFont="1" applyFill="1" applyBorder="1" applyAlignment="1">
      <alignment horizontal="left"/>
    </xf>
    <xf numFmtId="167" fontId="23" fillId="0" borderId="0" xfId="57" applyNumberFormat="1" applyFont="1" applyFill="1" applyBorder="1" applyAlignment="1">
      <alignment horizontal="left"/>
    </xf>
    <xf numFmtId="0" fontId="23" fillId="0" borderId="1" xfId="57" quotePrefix="1" applyFont="1" applyFill="1" applyBorder="1" applyAlignment="1">
      <alignment vertical="center"/>
    </xf>
    <xf numFmtId="0" fontId="30" fillId="0" borderId="0" xfId="57" quotePrefix="1" applyFont="1" applyFill="1" applyBorder="1" applyAlignment="1">
      <alignment vertical="center"/>
    </xf>
    <xf numFmtId="43" fontId="48" fillId="0" borderId="0" xfId="58" quotePrefix="1" applyFont="1" applyFill="1" applyBorder="1" applyAlignment="1"/>
    <xf numFmtId="0" fontId="24" fillId="0" borderId="1" xfId="57" quotePrefix="1" applyFont="1" applyFill="1" applyBorder="1" applyAlignment="1" applyProtection="1">
      <alignment wrapText="1"/>
      <protection locked="0"/>
    </xf>
    <xf numFmtId="167" fontId="24" fillId="0" borderId="1" xfId="58" quotePrefix="1" applyNumberFormat="1" applyFont="1" applyFill="1" applyBorder="1" applyAlignment="1" applyProtection="1">
      <alignment horizontal="right" wrapText="1"/>
      <protection locked="0"/>
    </xf>
    <xf numFmtId="43" fontId="50" fillId="0" borderId="0" xfId="58" applyFont="1" applyFill="1" applyBorder="1" applyAlignment="1" applyProtection="1">
      <alignment horizontal="left" wrapText="1"/>
      <protection locked="0"/>
    </xf>
    <xf numFmtId="167" fontId="31" fillId="0" borderId="0" xfId="61" applyNumberFormat="1" applyFont="1" applyFill="1" applyBorder="1" applyProtection="1">
      <protection locked="0"/>
    </xf>
    <xf numFmtId="0" fontId="23" fillId="0" borderId="1" xfId="57" applyFont="1" applyFill="1" applyBorder="1" applyAlignment="1"/>
    <xf numFmtId="167" fontId="24" fillId="0" borderId="1" xfId="58" applyNumberFormat="1" applyFont="1" applyFill="1" applyBorder="1" applyAlignment="1"/>
    <xf numFmtId="0" fontId="1" fillId="0" borderId="0" xfId="57" applyFont="1" applyFill="1" applyBorder="1" applyAlignment="1"/>
    <xf numFmtId="0" fontId="1" fillId="0" borderId="0" xfId="57" applyFont="1" applyFill="1" applyAlignment="1"/>
    <xf numFmtId="167" fontId="32" fillId="0" borderId="0" xfId="61" applyNumberFormat="1" applyFont="1" applyFill="1" applyBorder="1" applyProtection="1">
      <protection locked="0"/>
    </xf>
    <xf numFmtId="49" fontId="24" fillId="0" borderId="1" xfId="57" applyNumberFormat="1" applyFont="1" applyFill="1" applyBorder="1" applyAlignment="1">
      <alignment horizontal="center"/>
    </xf>
    <xf numFmtId="167" fontId="24" fillId="0" borderId="1" xfId="57" applyNumberFormat="1" applyFont="1" applyFill="1" applyBorder="1" applyAlignment="1">
      <alignment horizontal="left" wrapText="1"/>
    </xf>
    <xf numFmtId="0" fontId="28" fillId="0" borderId="0" xfId="57" applyFont="1" applyFill="1" applyBorder="1"/>
    <xf numFmtId="43" fontId="32" fillId="0" borderId="0" xfId="58" applyFont="1" applyFill="1" applyBorder="1" applyAlignment="1"/>
    <xf numFmtId="43" fontId="49" fillId="0" borderId="0" xfId="58" quotePrefix="1" applyFont="1" applyFill="1" applyBorder="1" applyAlignment="1"/>
    <xf numFmtId="167" fontId="32" fillId="0" borderId="0" xfId="59" applyNumberFormat="1" applyFont="1" applyFill="1" applyBorder="1" applyProtection="1">
      <protection locked="0"/>
    </xf>
    <xf numFmtId="49" fontId="24" fillId="0" borderId="0" xfId="57" quotePrefix="1" applyNumberFormat="1" applyFont="1" applyFill="1" applyBorder="1"/>
    <xf numFmtId="0" fontId="24" fillId="0" borderId="0" xfId="57" quotePrefix="1" applyFont="1" applyFill="1" applyBorder="1" applyAlignment="1">
      <alignment horizontal="right"/>
    </xf>
    <xf numFmtId="167" fontId="23" fillId="0" borderId="1" xfId="57" quotePrefix="1" applyNumberFormat="1" applyFont="1" applyFill="1" applyBorder="1" applyAlignment="1">
      <alignment vertical="center"/>
    </xf>
    <xf numFmtId="43" fontId="47" fillId="0" borderId="0" xfId="58" applyFont="1" applyFill="1" applyBorder="1" applyAlignment="1"/>
    <xf numFmtId="0" fontId="23" fillId="0" borderId="1" xfId="57" applyFont="1" applyFill="1" applyBorder="1" applyAlignment="1">
      <alignment vertical="center"/>
    </xf>
    <xf numFmtId="167" fontId="28" fillId="0" borderId="0" xfId="59" applyNumberFormat="1" applyFont="1" applyFill="1" applyBorder="1" applyAlignment="1" applyProtection="1">
      <protection locked="0"/>
    </xf>
    <xf numFmtId="0" fontId="24" fillId="0" borderId="1" xfId="57" quotePrefix="1" applyFont="1" applyFill="1" applyBorder="1" applyAlignment="1">
      <alignment horizontal="right" wrapText="1"/>
    </xf>
    <xf numFmtId="0" fontId="24" fillId="0" borderId="1" xfId="57" quotePrefix="1" applyFont="1" applyFill="1" applyBorder="1" applyAlignment="1">
      <alignment wrapText="1"/>
    </xf>
    <xf numFmtId="43" fontId="51" fillId="0" borderId="0" xfId="58" applyFont="1" applyFill="1" applyBorder="1" applyAlignment="1" applyProtection="1">
      <alignment wrapText="1"/>
      <protection locked="0"/>
    </xf>
    <xf numFmtId="0" fontId="24" fillId="0" borderId="0" xfId="57" quotePrefix="1" applyFont="1" applyFill="1" applyBorder="1" applyAlignment="1">
      <alignment horizontal="right" wrapText="1"/>
    </xf>
    <xf numFmtId="43" fontId="24" fillId="0" borderId="1" xfId="58" applyFont="1" applyFill="1" applyBorder="1" applyAlignment="1">
      <alignment horizontal="left" wrapText="1"/>
    </xf>
    <xf numFmtId="167" fontId="24" fillId="0" borderId="1" xfId="58" applyNumberFormat="1" applyFont="1" applyFill="1" applyBorder="1" applyAlignment="1" applyProtection="1">
      <alignment wrapText="1"/>
      <protection locked="0"/>
    </xf>
    <xf numFmtId="167" fontId="24" fillId="0" borderId="1" xfId="58" applyNumberFormat="1" applyFont="1" applyFill="1" applyBorder="1" applyAlignment="1">
      <alignment horizontal="left" wrapText="1"/>
    </xf>
    <xf numFmtId="0" fontId="23" fillId="0" borderId="0" xfId="57" quotePrefix="1" applyFont="1" applyFill="1" applyBorder="1" applyAlignment="1">
      <alignment vertical="center"/>
    </xf>
    <xf numFmtId="167" fontId="23" fillId="0" borderId="1" xfId="57" applyNumberFormat="1" applyFont="1" applyFill="1" applyBorder="1"/>
    <xf numFmtId="167" fontId="23" fillId="0" borderId="0" xfId="57" applyNumberFormat="1" applyFont="1" applyFill="1" applyBorder="1"/>
    <xf numFmtId="167" fontId="23" fillId="0" borderId="0" xfId="58" applyNumberFormat="1" applyFont="1" applyFill="1" applyBorder="1"/>
    <xf numFmtId="167" fontId="32" fillId="0" borderId="0" xfId="58" applyNumberFormat="1" applyFont="1" applyFill="1" applyBorder="1" applyAlignment="1"/>
    <xf numFmtId="43" fontId="1" fillId="0" borderId="0" xfId="57" applyNumberFormat="1" applyFont="1" applyFill="1" applyBorder="1"/>
    <xf numFmtId="0" fontId="23" fillId="0" borderId="1" xfId="62" applyFont="1" applyFill="1" applyBorder="1" applyAlignment="1" applyProtection="1">
      <alignment horizontal="center" wrapText="1"/>
      <protection locked="0"/>
    </xf>
    <xf numFmtId="0" fontId="23" fillId="0" borderId="1" xfId="62" applyFont="1" applyFill="1" applyBorder="1" applyAlignment="1" applyProtection="1">
      <alignment horizontal="left" wrapText="1"/>
      <protection locked="0"/>
    </xf>
    <xf numFmtId="167" fontId="24" fillId="0" borderId="1" xfId="58" applyNumberFormat="1" applyFont="1" applyFill="1" applyBorder="1" applyAlignment="1">
      <alignment horizontal="right"/>
    </xf>
    <xf numFmtId="167" fontId="23" fillId="0" borderId="1" xfId="57" applyNumberFormat="1" applyFont="1" applyFill="1" applyBorder="1" applyAlignment="1">
      <alignment horizontal="left" wrapText="1"/>
    </xf>
    <xf numFmtId="0" fontId="24" fillId="0" borderId="0" xfId="57" applyFont="1" applyFill="1"/>
    <xf numFmtId="0" fontId="24" fillId="0" borderId="0" xfId="57" applyFont="1" applyFill="1" applyAlignment="1">
      <alignment wrapText="1"/>
    </xf>
    <xf numFmtId="167" fontId="24" fillId="0" borderId="0" xfId="58" applyNumberFormat="1" applyFont="1" applyFill="1"/>
    <xf numFmtId="43" fontId="26" fillId="0" borderId="1" xfId="24" applyFont="1" applyFill="1" applyBorder="1" applyAlignment="1">
      <alignment horizontal="center" wrapText="1"/>
    </xf>
    <xf numFmtId="0" fontId="27" fillId="0" borderId="3" xfId="37" applyFont="1" applyFill="1" applyBorder="1" applyAlignment="1">
      <alignment horizontal="left" vertical="center" wrapText="1"/>
    </xf>
    <xf numFmtId="43" fontId="26" fillId="0" borderId="3" xfId="24" applyFont="1" applyFill="1" applyBorder="1" applyAlignment="1">
      <alignment horizontal="right" wrapText="1"/>
    </xf>
    <xf numFmtId="43" fontId="26" fillId="0" borderId="1" xfId="24" applyFont="1" applyFill="1" applyBorder="1" applyAlignment="1">
      <alignment horizontal="right" wrapText="1"/>
    </xf>
    <xf numFmtId="3" fontId="26" fillId="0" borderId="1" xfId="24" applyNumberFormat="1" applyFont="1" applyFill="1" applyBorder="1" applyAlignment="1">
      <alignment horizontal="right" wrapText="1"/>
    </xf>
    <xf numFmtId="49" fontId="30" fillId="0" borderId="1" xfId="37" applyNumberFormat="1" applyFont="1" applyFill="1" applyBorder="1" applyAlignment="1">
      <alignment horizontal="left" wrapText="1"/>
    </xf>
    <xf numFmtId="3" fontId="23" fillId="0" borderId="1" xfId="29" applyNumberFormat="1" applyFont="1" applyFill="1" applyBorder="1" applyAlignment="1">
      <alignment horizontal="right"/>
    </xf>
    <xf numFmtId="4" fontId="23" fillId="0" borderId="1" xfId="29" applyNumberFormat="1" applyFont="1" applyFill="1" applyBorder="1" applyAlignment="1">
      <alignment horizontal="right"/>
    </xf>
    <xf numFmtId="0" fontId="27" fillId="0" borderId="1" xfId="37" applyFont="1" applyFill="1" applyBorder="1" applyAlignment="1">
      <alignment horizontal="left" vertical="center" wrapText="1"/>
    </xf>
    <xf numFmtId="0" fontId="31" fillId="0" borderId="1" xfId="37" applyFont="1" applyFill="1" applyBorder="1" applyAlignment="1">
      <alignment horizontal="left" vertical="center" wrapText="1"/>
    </xf>
    <xf numFmtId="168" fontId="24" fillId="0" borderId="1" xfId="0" applyNumberFormat="1" applyFont="1" applyFill="1" applyBorder="1" applyAlignment="1">
      <alignment horizontal="right" wrapText="1"/>
    </xf>
    <xf numFmtId="43" fontId="24" fillId="0" borderId="1" xfId="0" applyNumberFormat="1" applyFont="1" applyFill="1" applyBorder="1" applyAlignment="1">
      <alignment horizontal="right" wrapText="1"/>
    </xf>
    <xf numFmtId="0" fontId="24" fillId="0" borderId="1" xfId="0" applyFont="1" applyFill="1" applyBorder="1" applyAlignment="1">
      <alignment horizontal="right" wrapText="1"/>
    </xf>
    <xf numFmtId="2" fontId="24" fillId="0" borderId="1" xfId="0" applyNumberFormat="1" applyFont="1" applyFill="1" applyBorder="1" applyAlignment="1">
      <alignment horizontal="right" wrapText="1"/>
    </xf>
    <xf numFmtId="0" fontId="28" fillId="0" borderId="1" xfId="37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right" wrapText="1"/>
    </xf>
    <xf numFmtId="4" fontId="24" fillId="0" borderId="1" xfId="0" applyNumberFormat="1" applyFont="1" applyFill="1" applyBorder="1" applyAlignment="1">
      <alignment horizontal="right" wrapText="1"/>
    </xf>
    <xf numFmtId="3" fontId="23" fillId="0" borderId="1" xfId="2" applyNumberFormat="1" applyFont="1" applyFill="1" applyBorder="1" applyAlignment="1">
      <alignment horizontal="right" wrapText="1"/>
    </xf>
    <xf numFmtId="3" fontId="23" fillId="0" borderId="3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right" wrapText="1"/>
    </xf>
    <xf numFmtId="167" fontId="23" fillId="0" borderId="1" xfId="2" applyNumberFormat="1" applyFont="1" applyFill="1" applyBorder="1" applyAlignment="1">
      <alignment horizontal="right" wrapText="1"/>
    </xf>
    <xf numFmtId="0" fontId="24" fillId="0" borderId="0" xfId="0" applyFont="1" applyFill="1" applyAlignment="1">
      <alignment horizontal="right" wrapText="1"/>
    </xf>
    <xf numFmtId="0" fontId="24" fillId="0" borderId="0" xfId="0" applyFont="1" applyFill="1">
      <alignment wrapText="1"/>
    </xf>
    <xf numFmtId="0" fontId="24" fillId="0" borderId="0" xfId="0" applyFont="1" applyFill="1" applyAlignment="1">
      <alignment horizontal="left" wrapText="1"/>
    </xf>
    <xf numFmtId="3" fontId="32" fillId="0" borderId="0" xfId="0" applyNumberFormat="1" applyFont="1" applyFill="1" applyAlignment="1">
      <alignment horizontal="right" wrapText="1"/>
    </xf>
    <xf numFmtId="0" fontId="24" fillId="0" borderId="0" xfId="0" applyFont="1" applyFill="1" applyBorder="1" applyAlignment="1">
      <alignment horizontal="left" wrapText="1"/>
    </xf>
    <xf numFmtId="3" fontId="24" fillId="0" borderId="0" xfId="0" applyNumberFormat="1" applyFont="1" applyFill="1" applyBorder="1" applyAlignment="1">
      <alignment wrapText="1"/>
    </xf>
    <xf numFmtId="4" fontId="24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left" wrapText="1"/>
    </xf>
    <xf numFmtId="167" fontId="23" fillId="0" borderId="0" xfId="2" applyNumberFormat="1" applyFont="1" applyFill="1" applyBorder="1" applyAlignment="1">
      <alignment wrapText="1"/>
    </xf>
    <xf numFmtId="43" fontId="23" fillId="0" borderId="0" xfId="2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>
      <alignment wrapText="1"/>
    </xf>
    <xf numFmtId="0" fontId="33" fillId="0" borderId="1" xfId="35" quotePrefix="1" applyFont="1" applyFill="1" applyBorder="1" applyAlignment="1">
      <alignment wrapText="1"/>
    </xf>
    <xf numFmtId="3" fontId="34" fillId="0" borderId="1" xfId="35" applyNumberFormat="1" applyFont="1" applyFill="1" applyBorder="1" applyAlignment="1" applyProtection="1">
      <alignment horizontal="right" wrapText="1"/>
      <protection locked="0"/>
    </xf>
    <xf numFmtId="0" fontId="67" fillId="0" borderId="0" xfId="41" applyFont="1" applyFill="1" applyBorder="1" applyAlignment="1"/>
    <xf numFmtId="0" fontId="34" fillId="0" borderId="0" xfId="37" applyFont="1" applyFill="1" applyBorder="1" applyAlignment="1">
      <alignment wrapText="1"/>
    </xf>
    <xf numFmtId="43" fontId="33" fillId="0" borderId="1" xfId="24" applyFont="1" applyFill="1" applyBorder="1" applyAlignment="1">
      <alignment horizontal="center" wrapText="1"/>
    </xf>
    <xf numFmtId="3" fontId="33" fillId="0" borderId="1" xfId="24" applyNumberFormat="1" applyFont="1" applyFill="1" applyBorder="1" applyAlignment="1">
      <alignment horizontal="center" wrapText="1"/>
    </xf>
    <xf numFmtId="0" fontId="34" fillId="0" borderId="1" xfId="37" applyFont="1" applyFill="1" applyBorder="1" applyAlignment="1">
      <alignment horizontal="left" vertical="center" wrapText="1"/>
    </xf>
    <xf numFmtId="0" fontId="33" fillId="0" borderId="1" xfId="37" applyFont="1" applyFill="1" applyBorder="1" applyAlignment="1">
      <alignment horizontal="left" vertical="center" wrapText="1"/>
    </xf>
    <xf numFmtId="43" fontId="33" fillId="0" borderId="1" xfId="24" applyFont="1" applyFill="1" applyBorder="1" applyAlignment="1">
      <alignment horizontal="right" vertical="top" wrapText="1"/>
    </xf>
    <xf numFmtId="3" fontId="33" fillId="0" borderId="1" xfId="24" applyNumberFormat="1" applyFont="1" applyFill="1" applyBorder="1" applyAlignment="1">
      <alignment horizontal="right" vertical="top" wrapText="1"/>
    </xf>
    <xf numFmtId="49" fontId="34" fillId="0" borderId="1" xfId="37" applyNumberFormat="1" applyFont="1" applyFill="1" applyBorder="1" applyAlignment="1">
      <alignment horizontal="left"/>
    </xf>
    <xf numFmtId="49" fontId="34" fillId="0" borderId="1" xfId="37" applyNumberFormat="1" applyFont="1" applyFill="1" applyBorder="1" applyAlignment="1">
      <alignment horizontal="left" wrapText="1"/>
    </xf>
    <xf numFmtId="0" fontId="34" fillId="0" borderId="1" xfId="41" applyFont="1" applyFill="1" applyBorder="1" applyAlignment="1">
      <alignment horizontal="right" wrapText="1"/>
    </xf>
    <xf numFmtId="0" fontId="34" fillId="0" borderId="1" xfId="41" quotePrefix="1" applyFont="1" applyFill="1" applyBorder="1" applyAlignment="1">
      <alignment horizontal="right" wrapText="1"/>
    </xf>
    <xf numFmtId="49" fontId="33" fillId="0" borderId="1" xfId="37" applyNumberFormat="1" applyFont="1" applyFill="1" applyBorder="1" applyAlignment="1">
      <alignment horizontal="left" wrapText="1"/>
    </xf>
    <xf numFmtId="0" fontId="34" fillId="0" borderId="1" xfId="41" applyFont="1" applyFill="1" applyBorder="1" applyAlignment="1">
      <alignment wrapText="1"/>
    </xf>
    <xf numFmtId="3" fontId="34" fillId="0" borderId="1" xfId="41" applyNumberFormat="1" applyFont="1" applyFill="1" applyBorder="1" applyAlignment="1">
      <alignment horizontal="right" wrapText="1"/>
    </xf>
    <xf numFmtId="0" fontId="67" fillId="0" borderId="0" xfId="41" applyFont="1" applyFill="1" applyBorder="1" applyAlignment="1">
      <alignment wrapText="1"/>
    </xf>
    <xf numFmtId="0" fontId="33" fillId="0" borderId="1" xfId="41" applyFont="1" applyFill="1" applyBorder="1" applyAlignment="1">
      <alignment horizontal="right"/>
    </xf>
    <xf numFmtId="0" fontId="34" fillId="0" borderId="0" xfId="41" applyFont="1" applyFill="1" applyBorder="1" applyAlignment="1"/>
    <xf numFmtId="0" fontId="34" fillId="0" borderId="0" xfId="41" applyFont="1" applyFill="1" applyBorder="1"/>
    <xf numFmtId="3" fontId="34" fillId="0" borderId="1" xfId="41" applyNumberFormat="1" applyFont="1" applyFill="1" applyBorder="1" applyAlignment="1">
      <alignment horizontal="right"/>
    </xf>
    <xf numFmtId="3" fontId="33" fillId="0" borderId="1" xfId="41" applyNumberFormat="1" applyFont="1" applyFill="1" applyBorder="1" applyAlignment="1">
      <alignment horizontal="right"/>
    </xf>
    <xf numFmtId="0" fontId="33" fillId="0" borderId="0" xfId="41" applyFont="1" applyFill="1" applyBorder="1" applyAlignment="1">
      <alignment horizontal="right"/>
    </xf>
    <xf numFmtId="0" fontId="34" fillId="0" borderId="0" xfId="41" applyFont="1" applyFill="1" applyBorder="1" applyAlignment="1">
      <alignment horizontal="right"/>
    </xf>
    <xf numFmtId="1" fontId="34" fillId="0" borderId="0" xfId="41" quotePrefix="1" applyNumberFormat="1" applyFont="1" applyFill="1" applyBorder="1" applyAlignment="1">
      <alignment horizontal="right"/>
    </xf>
    <xf numFmtId="43" fontId="33" fillId="0" borderId="1" xfId="27" applyFont="1" applyFill="1" applyBorder="1" applyAlignment="1">
      <alignment horizontal="right" wrapText="1"/>
    </xf>
    <xf numFmtId="0" fontId="33" fillId="0" borderId="1" xfId="35" applyFont="1" applyFill="1" applyBorder="1" applyAlignment="1">
      <alignment horizontal="right" wrapText="1"/>
    </xf>
    <xf numFmtId="3" fontId="33" fillId="0" borderId="1" xfId="27" applyNumberFormat="1" applyFont="1" applyFill="1" applyBorder="1" applyAlignment="1">
      <alignment horizontal="right" wrapText="1"/>
    </xf>
    <xf numFmtId="0" fontId="34" fillId="0" borderId="1" xfId="41" applyFont="1" applyFill="1" applyBorder="1" applyAlignment="1" applyProtection="1">
      <alignment horizontal="right"/>
      <protection locked="0"/>
    </xf>
    <xf numFmtId="49" fontId="34" fillId="0" borderId="0" xfId="41" applyNumberFormat="1" applyFont="1" applyFill="1" applyBorder="1" applyAlignment="1">
      <alignment horizontal="right" wrapText="1"/>
    </xf>
    <xf numFmtId="0" fontId="34" fillId="0" borderId="3" xfId="41" applyFont="1" applyFill="1" applyBorder="1" applyAlignment="1"/>
    <xf numFmtId="0" fontId="34" fillId="0" borderId="0" xfId="41" applyFont="1" applyFill="1" applyAlignment="1"/>
    <xf numFmtId="0" fontId="34" fillId="0" borderId="4" xfId="41" applyFont="1" applyFill="1" applyBorder="1" applyAlignment="1"/>
    <xf numFmtId="0" fontId="34" fillId="0" borderId="4" xfId="41" applyFont="1" applyFill="1" applyBorder="1" applyAlignment="1">
      <alignment horizontal="right"/>
    </xf>
    <xf numFmtId="1" fontId="34" fillId="0" borderId="4" xfId="41" quotePrefix="1" applyNumberFormat="1" applyFont="1" applyFill="1" applyBorder="1" applyAlignment="1">
      <alignment horizontal="right"/>
    </xf>
    <xf numFmtId="43" fontId="34" fillId="0" borderId="1" xfId="27" applyFont="1" applyFill="1" applyBorder="1" applyAlignment="1">
      <alignment horizontal="right" wrapText="1"/>
    </xf>
    <xf numFmtId="49" fontId="34" fillId="0" borderId="1" xfId="41" quotePrefix="1" applyNumberFormat="1" applyFont="1" applyFill="1" applyBorder="1" applyAlignment="1">
      <alignment horizontal="right"/>
    </xf>
    <xf numFmtId="0" fontId="34" fillId="0" borderId="1" xfId="41" applyFont="1" applyFill="1" applyBorder="1" applyAlignment="1">
      <alignment horizontal="justify" wrapText="1"/>
    </xf>
    <xf numFmtId="49" fontId="33" fillId="0" borderId="1" xfId="41" applyNumberFormat="1" applyFont="1" applyFill="1" applyBorder="1" applyAlignment="1">
      <alignment horizontal="right"/>
    </xf>
    <xf numFmtId="0" fontId="34" fillId="0" borderId="1" xfId="41" applyFont="1" applyFill="1" applyBorder="1" applyAlignment="1">
      <alignment horizontal="left" wrapText="1"/>
    </xf>
    <xf numFmtId="3" fontId="34" fillId="0" borderId="1" xfId="27" applyNumberFormat="1" applyFont="1" applyFill="1" applyBorder="1" applyAlignment="1">
      <alignment horizontal="right"/>
    </xf>
    <xf numFmtId="3" fontId="33" fillId="0" borderId="1" xfId="27" applyNumberFormat="1" applyFont="1" applyFill="1" applyBorder="1" applyAlignment="1">
      <alignment horizontal="right"/>
    </xf>
    <xf numFmtId="0" fontId="33" fillId="0" borderId="1" xfId="41" applyFont="1" applyFill="1" applyBorder="1" applyAlignment="1">
      <alignment horizontal="left"/>
    </xf>
    <xf numFmtId="49" fontId="33" fillId="0" borderId="1" xfId="41" applyNumberFormat="1" applyFont="1" applyFill="1" applyBorder="1" applyAlignment="1">
      <alignment horizontal="right" wrapText="1"/>
    </xf>
    <xf numFmtId="1" fontId="33" fillId="0" borderId="1" xfId="41" quotePrefix="1" applyNumberFormat="1" applyFont="1" applyFill="1" applyBorder="1" applyAlignment="1">
      <alignment horizontal="right"/>
    </xf>
    <xf numFmtId="3" fontId="34" fillId="0" borderId="1" xfId="27" applyNumberFormat="1" applyFont="1" applyFill="1" applyBorder="1" applyAlignment="1">
      <alignment horizontal="right" wrapText="1"/>
    </xf>
    <xf numFmtId="0" fontId="34" fillId="0" borderId="1" xfId="41" quotePrefix="1" applyFont="1" applyFill="1" applyBorder="1" applyAlignment="1">
      <alignment horizontal="right"/>
    </xf>
    <xf numFmtId="3" fontId="34" fillId="0" borderId="0" xfId="18" applyNumberFormat="1" applyFont="1" applyFill="1" applyBorder="1" applyAlignment="1">
      <alignment horizontal="right"/>
    </xf>
    <xf numFmtId="3" fontId="33" fillId="0" borderId="1" xfId="18" applyNumberFormat="1" applyFont="1" applyFill="1" applyBorder="1" applyAlignment="1">
      <alignment horizontal="right"/>
    </xf>
    <xf numFmtId="0" fontId="33" fillId="0" borderId="1" xfId="41" applyFont="1" applyFill="1" applyBorder="1" applyAlignment="1"/>
    <xf numFmtId="3" fontId="34" fillId="0" borderId="0" xfId="41" applyNumberFormat="1" applyFont="1" applyFill="1" applyBorder="1" applyAlignment="1"/>
    <xf numFmtId="164" fontId="33" fillId="0" borderId="1" xfId="1" applyFont="1" applyFill="1" applyBorder="1" applyAlignment="1">
      <alignment horizontal="right" wrapText="1"/>
    </xf>
    <xf numFmtId="0" fontId="34" fillId="0" borderId="1" xfId="35" applyFont="1" applyFill="1" applyBorder="1" applyAlignment="1">
      <alignment horizontal="center" wrapText="1"/>
    </xf>
    <xf numFmtId="0" fontId="68" fillId="0" borderId="1" xfId="41" applyFont="1" applyFill="1" applyBorder="1"/>
    <xf numFmtId="3" fontId="69" fillId="0" borderId="0" xfId="41" applyNumberFormat="1" applyFont="1" applyFill="1" applyBorder="1" applyAlignment="1"/>
    <xf numFmtId="3" fontId="69" fillId="0" borderId="0" xfId="41" applyNumberFormat="1" applyFont="1" applyFill="1"/>
    <xf numFmtId="0" fontId="33" fillId="0" borderId="0" xfId="41" applyFont="1" applyFill="1" applyBorder="1" applyAlignment="1"/>
    <xf numFmtId="0" fontId="33" fillId="0" borderId="0" xfId="41" applyFont="1" applyFill="1" applyBorder="1" applyAlignment="1">
      <alignment wrapText="1"/>
    </xf>
    <xf numFmtId="3" fontId="33" fillId="0" borderId="0" xfId="41" applyNumberFormat="1" applyFont="1" applyFill="1" applyBorder="1" applyAlignment="1">
      <alignment horizontal="right"/>
    </xf>
    <xf numFmtId="3" fontId="34" fillId="0" borderId="0" xfId="41" applyNumberFormat="1" applyFont="1" applyFill="1" applyBorder="1" applyAlignment="1">
      <alignment horizontal="right"/>
    </xf>
    <xf numFmtId="0" fontId="34" fillId="0" borderId="0" xfId="41" applyFont="1" applyFill="1" applyBorder="1" applyAlignment="1">
      <alignment wrapText="1"/>
    </xf>
    <xf numFmtId="3" fontId="34" fillId="0" borderId="0" xfId="41" applyNumberFormat="1" applyFont="1" applyFill="1" applyAlignment="1">
      <alignment horizontal="right"/>
    </xf>
    <xf numFmtId="0" fontId="34" fillId="0" borderId="0" xfId="41" applyFont="1" applyFill="1" applyAlignment="1">
      <alignment wrapText="1"/>
    </xf>
    <xf numFmtId="0" fontId="34" fillId="0" borderId="0" xfId="41" applyFont="1" applyFill="1" applyAlignment="1">
      <alignment horizontal="right"/>
    </xf>
    <xf numFmtId="3" fontId="24" fillId="0" borderId="0" xfId="41" applyNumberFormat="1" applyFont="1" applyFill="1" applyAlignment="1"/>
    <xf numFmtId="0" fontId="67" fillId="0" borderId="6" xfId="41" applyFont="1" applyFill="1" applyBorder="1" applyAlignment="1"/>
    <xf numFmtId="0" fontId="24" fillId="0" borderId="0" xfId="41" applyFont="1" applyFill="1" applyAlignment="1"/>
    <xf numFmtId="0" fontId="24" fillId="0" borderId="0" xfId="41" applyFont="1" applyFill="1" applyAlignment="1">
      <alignment wrapText="1"/>
    </xf>
    <xf numFmtId="3" fontId="24" fillId="0" borderId="0" xfId="41" applyNumberFormat="1" applyFont="1" applyFill="1" applyAlignment="1">
      <alignment horizontal="right"/>
    </xf>
    <xf numFmtId="167" fontId="30" fillId="0" borderId="1" xfId="36" applyNumberFormat="1" applyFont="1" applyFill="1" applyBorder="1" applyAlignment="1" applyProtection="1">
      <alignment wrapText="1"/>
      <protection locked="0"/>
    </xf>
    <xf numFmtId="167" fontId="56" fillId="0" borderId="1" xfId="36" applyNumberFormat="1" applyFont="1" applyFill="1" applyBorder="1" applyAlignment="1">
      <alignment horizontal="center"/>
    </xf>
    <xf numFmtId="167" fontId="56" fillId="0" borderId="1" xfId="26" applyNumberFormat="1" applyFont="1" applyFill="1" applyBorder="1" applyAlignment="1"/>
    <xf numFmtId="0" fontId="66" fillId="0" borderId="1" xfId="36" applyFont="1" applyFill="1" applyBorder="1"/>
    <xf numFmtId="0" fontId="33" fillId="0" borderId="1" xfId="36" applyFont="1" applyFill="1" applyBorder="1" applyAlignment="1">
      <alignment horizontal="right"/>
    </xf>
    <xf numFmtId="0" fontId="33" fillId="0" borderId="1" xfId="36" applyFont="1" applyFill="1" applyBorder="1" applyAlignment="1">
      <alignment vertical="center"/>
    </xf>
    <xf numFmtId="0" fontId="34" fillId="0" borderId="1" xfId="36" applyFont="1" applyFill="1" applyBorder="1" applyAlignment="1"/>
    <xf numFmtId="0" fontId="33" fillId="0" borderId="1" xfId="36" applyFont="1" applyFill="1" applyBorder="1" applyAlignment="1">
      <alignment horizontal="right" wrapText="1"/>
    </xf>
    <xf numFmtId="0" fontId="34" fillId="0" borderId="1" xfId="36" quotePrefix="1" applyNumberFormat="1" applyFont="1" applyFill="1" applyBorder="1" applyAlignment="1"/>
    <xf numFmtId="49" fontId="34" fillId="0" borderId="1" xfId="36" applyNumberFormat="1" applyFont="1" applyFill="1" applyBorder="1" applyAlignment="1">
      <alignment horizontal="right"/>
    </xf>
    <xf numFmtId="0" fontId="34" fillId="0" borderId="1" xfId="36" quotePrefix="1" applyFont="1" applyFill="1" applyBorder="1" applyAlignment="1">
      <alignment horizontal="right"/>
    </xf>
    <xf numFmtId="0" fontId="34" fillId="0" borderId="1" xfId="36" applyFont="1" applyFill="1" applyBorder="1" applyAlignment="1">
      <alignment horizontal="right"/>
    </xf>
    <xf numFmtId="1" fontId="34" fillId="0" borderId="1" xfId="36" quotePrefix="1" applyNumberFormat="1" applyFont="1" applyFill="1" applyBorder="1" applyAlignment="1">
      <alignment horizontal="right"/>
    </xf>
    <xf numFmtId="0" fontId="33" fillId="0" borderId="1" xfId="36" applyFont="1" applyFill="1" applyBorder="1" applyAlignment="1"/>
    <xf numFmtId="167" fontId="33" fillId="0" borderId="1" xfId="36" applyNumberFormat="1" applyFont="1" applyFill="1" applyBorder="1" applyAlignment="1"/>
    <xf numFmtId="167" fontId="33" fillId="0" borderId="1" xfId="14" applyNumberFormat="1" applyFont="1" applyFill="1" applyBorder="1" applyAlignment="1" applyProtection="1">
      <protection locked="0"/>
    </xf>
    <xf numFmtId="0" fontId="34" fillId="0" borderId="1" xfId="39" quotePrefix="1" applyFont="1" applyFill="1" applyBorder="1" applyAlignment="1">
      <alignment horizontal="right"/>
    </xf>
    <xf numFmtId="0" fontId="34" fillId="0" borderId="0" xfId="36" quotePrefix="1" applyNumberFormat="1" applyFont="1" applyFill="1" applyBorder="1" applyAlignment="1"/>
    <xf numFmtId="0" fontId="34" fillId="0" borderId="0" xfId="34" applyFont="1" applyFill="1" applyBorder="1" applyAlignment="1">
      <alignment horizontal="center" wrapText="1"/>
    </xf>
    <xf numFmtId="0" fontId="34" fillId="0" borderId="0" xfId="36" applyFont="1" applyFill="1" applyBorder="1" applyAlignment="1">
      <alignment horizontal="right"/>
    </xf>
    <xf numFmtId="0" fontId="34" fillId="0" borderId="0" xfId="39" quotePrefix="1" applyFont="1" applyFill="1" applyBorder="1" applyAlignment="1">
      <alignment horizontal="right"/>
    </xf>
    <xf numFmtId="0" fontId="34" fillId="0" borderId="0" xfId="36" quotePrefix="1" applyFont="1" applyFill="1" applyBorder="1" applyAlignment="1">
      <alignment horizontal="right"/>
    </xf>
    <xf numFmtId="0" fontId="34" fillId="0" borderId="0" xfId="36" applyFont="1" applyFill="1" applyBorder="1" applyAlignment="1"/>
    <xf numFmtId="167" fontId="34" fillId="0" borderId="0" xfId="14" applyNumberFormat="1" applyFont="1" applyFill="1" applyBorder="1" applyAlignment="1" applyProtection="1">
      <protection locked="0"/>
    </xf>
    <xf numFmtId="167" fontId="33" fillId="0" borderId="0" xfId="14" applyNumberFormat="1" applyFont="1" applyFill="1" applyBorder="1" applyAlignment="1" applyProtection="1">
      <protection locked="0"/>
    </xf>
    <xf numFmtId="0" fontId="34" fillId="0" borderId="1" xfId="34" applyFont="1" applyFill="1" applyBorder="1" applyAlignment="1">
      <alignment horizontal="left" wrapText="1"/>
    </xf>
    <xf numFmtId="167" fontId="34" fillId="0" borderId="1" xfId="9" applyNumberFormat="1" applyFont="1" applyFill="1" applyBorder="1" applyAlignment="1" applyProtection="1">
      <protection locked="0"/>
    </xf>
    <xf numFmtId="167" fontId="34" fillId="0" borderId="1" xfId="9" applyNumberFormat="1" applyFont="1" applyFill="1" applyBorder="1" applyAlignment="1"/>
    <xf numFmtId="167" fontId="33" fillId="0" borderId="1" xfId="9" applyNumberFormat="1" applyFont="1" applyFill="1" applyBorder="1" applyAlignment="1">
      <alignment wrapText="1"/>
    </xf>
    <xf numFmtId="0" fontId="33" fillId="0" borderId="1" xfId="36" applyFont="1" applyFill="1" applyBorder="1" applyAlignment="1">
      <alignment horizontal="left"/>
    </xf>
    <xf numFmtId="0" fontId="33" fillId="0" borderId="1" xfId="36" quotePrefix="1" applyFont="1" applyFill="1" applyBorder="1" applyAlignment="1">
      <alignment horizontal="right"/>
    </xf>
    <xf numFmtId="0" fontId="33" fillId="0" borderId="1" xfId="36" quotePrefix="1" applyFont="1" applyFill="1" applyBorder="1" applyAlignment="1"/>
    <xf numFmtId="0" fontId="34" fillId="0" borderId="1" xfId="36" quotePrefix="1" applyFont="1" applyFill="1" applyBorder="1" applyAlignment="1"/>
    <xf numFmtId="0" fontId="34" fillId="0" borderId="1" xfId="34" applyFont="1" applyFill="1" applyBorder="1" applyAlignment="1"/>
    <xf numFmtId="0" fontId="34" fillId="0" borderId="0" xfId="36" quotePrefix="1" applyFont="1" applyFill="1" applyBorder="1" applyAlignment="1"/>
    <xf numFmtId="0" fontId="34" fillId="0" borderId="0" xfId="34" applyFont="1" applyFill="1" applyBorder="1" applyAlignment="1">
      <alignment horizontal="center"/>
    </xf>
    <xf numFmtId="0" fontId="33" fillId="0" borderId="1" xfId="34" applyFont="1" applyFill="1" applyBorder="1" applyAlignment="1"/>
    <xf numFmtId="0" fontId="34" fillId="0" borderId="1" xfId="34" applyFont="1" applyFill="1" applyBorder="1" applyAlignment="1">
      <alignment wrapText="1"/>
    </xf>
    <xf numFmtId="0" fontId="33" fillId="0" borderId="1" xfId="34" applyFont="1" applyFill="1" applyBorder="1" applyAlignment="1">
      <alignment wrapText="1"/>
    </xf>
    <xf numFmtId="1" fontId="33" fillId="0" borderId="1" xfId="36" quotePrefix="1" applyNumberFormat="1" applyFont="1" applyFill="1" applyBorder="1" applyAlignment="1">
      <alignment horizontal="right"/>
    </xf>
    <xf numFmtId="0" fontId="57" fillId="0" borderId="1" xfId="34" quotePrefix="1" applyFont="1" applyFill="1" applyBorder="1" applyAlignment="1">
      <alignment horizontal="right"/>
    </xf>
    <xf numFmtId="0" fontId="57" fillId="0" borderId="1" xfId="34" applyFont="1" applyFill="1" applyBorder="1" applyAlignment="1">
      <alignment horizontal="left"/>
    </xf>
    <xf numFmtId="0" fontId="57" fillId="0" borderId="1" xfId="34" applyFont="1" applyFill="1" applyBorder="1" applyAlignment="1"/>
    <xf numFmtId="1" fontId="57" fillId="0" borderId="1" xfId="34" quotePrefix="1" applyNumberFormat="1" applyFont="1" applyFill="1" applyBorder="1" applyAlignment="1">
      <alignment horizontal="right"/>
    </xf>
    <xf numFmtId="0" fontId="34" fillId="0" borderId="1" xfId="34" quotePrefix="1" applyFont="1" applyFill="1" applyBorder="1" applyAlignment="1">
      <alignment horizontal="right"/>
    </xf>
    <xf numFmtId="0" fontId="34" fillId="0" borderId="1" xfId="34" applyFont="1" applyFill="1" applyBorder="1" applyAlignment="1">
      <alignment horizontal="right"/>
    </xf>
    <xf numFmtId="1" fontId="34" fillId="0" borderId="1" xfId="34" quotePrefix="1" applyNumberFormat="1" applyFont="1" applyFill="1" applyBorder="1" applyAlignment="1">
      <alignment horizontal="right"/>
    </xf>
    <xf numFmtId="0" fontId="33" fillId="0" borderId="1" xfId="34" quotePrefix="1" applyFont="1" applyFill="1" applyBorder="1" applyAlignment="1">
      <alignment horizontal="right"/>
    </xf>
    <xf numFmtId="0" fontId="33" fillId="0" borderId="1" xfId="34" applyFont="1" applyFill="1" applyBorder="1" applyAlignment="1">
      <alignment horizontal="right"/>
    </xf>
    <xf numFmtId="1" fontId="33" fillId="0" borderId="1" xfId="34" quotePrefix="1" applyNumberFormat="1" applyFont="1" applyFill="1" applyBorder="1" applyAlignment="1">
      <alignment horizontal="right"/>
    </xf>
    <xf numFmtId="3" fontId="34" fillId="0" borderId="1" xfId="34" applyNumberFormat="1" applyFont="1" applyFill="1" applyBorder="1" applyAlignment="1">
      <alignment horizontal="right" wrapText="1"/>
    </xf>
    <xf numFmtId="0" fontId="33" fillId="0" borderId="1" xfId="36" quotePrefix="1" applyFont="1" applyFill="1" applyBorder="1" applyAlignment="1">
      <alignment horizontal="left"/>
    </xf>
    <xf numFmtId="0" fontId="33" fillId="0" borderId="1" xfId="36" quotePrefix="1" applyFont="1" applyFill="1" applyBorder="1" applyAlignment="1">
      <alignment vertical="center"/>
    </xf>
    <xf numFmtId="167" fontId="34" fillId="0" borderId="1" xfId="36" applyNumberFormat="1" applyFont="1" applyFill="1" applyBorder="1"/>
    <xf numFmtId="1" fontId="34" fillId="0" borderId="1" xfId="36" quotePrefix="1" applyNumberFormat="1" applyFont="1" applyFill="1" applyBorder="1" applyAlignment="1"/>
    <xf numFmtId="0" fontId="34" fillId="0" borderId="0" xfId="36" applyFont="1" applyFill="1" applyBorder="1"/>
    <xf numFmtId="49" fontId="34" fillId="0" borderId="0" xfId="36" applyNumberFormat="1" applyFont="1" applyFill="1" applyBorder="1" applyAlignment="1">
      <alignment horizontal="right" wrapText="1"/>
    </xf>
    <xf numFmtId="1" fontId="34" fillId="0" borderId="0" xfId="36" quotePrefix="1" applyNumberFormat="1" applyFont="1" applyFill="1" applyBorder="1" applyAlignment="1">
      <alignment horizontal="right"/>
    </xf>
    <xf numFmtId="167" fontId="34" fillId="0" borderId="0" xfId="14" applyNumberFormat="1" applyFont="1" applyFill="1" applyBorder="1" applyProtection="1">
      <protection locked="0"/>
    </xf>
    <xf numFmtId="0" fontId="33" fillId="0" borderId="1" xfId="34" applyFont="1" applyFill="1" applyBorder="1" applyProtection="1">
      <protection locked="0"/>
    </xf>
    <xf numFmtId="167" fontId="33" fillId="0" borderId="1" xfId="6" applyNumberFormat="1" applyFont="1" applyFill="1" applyBorder="1" applyProtection="1">
      <protection locked="0"/>
    </xf>
    <xf numFmtId="0" fontId="57" fillId="0" borderId="1" xfId="34" applyFont="1" applyFill="1" applyBorder="1"/>
    <xf numFmtId="0" fontId="34" fillId="0" borderId="1" xfId="34" applyFont="1" applyFill="1" applyBorder="1"/>
    <xf numFmtId="0" fontId="34" fillId="0" borderId="0" xfId="34" applyFont="1" applyFill="1" applyBorder="1" applyAlignment="1" applyProtection="1">
      <alignment horizontal="center" wrapText="1"/>
      <protection locked="0"/>
    </xf>
    <xf numFmtId="0" fontId="33" fillId="0" borderId="0" xfId="34" applyFont="1" applyFill="1" applyBorder="1" applyAlignment="1" applyProtection="1">
      <alignment wrapText="1"/>
      <protection locked="0"/>
    </xf>
    <xf numFmtId="167" fontId="33" fillId="0" borderId="0" xfId="6" applyNumberFormat="1" applyFont="1" applyFill="1" applyBorder="1" applyProtection="1">
      <protection locked="0"/>
    </xf>
    <xf numFmtId="0" fontId="57" fillId="0" borderId="1" xfId="34" quotePrefix="1" applyFont="1" applyFill="1" applyBorder="1"/>
    <xf numFmtId="0" fontId="70" fillId="0" borderId="1" xfId="34" quotePrefix="1" applyFont="1" applyFill="1" applyBorder="1"/>
    <xf numFmtId="0" fontId="70" fillId="0" borderId="1" xfId="34" applyFont="1" applyFill="1" applyBorder="1" applyAlignment="1">
      <alignment horizontal="left"/>
    </xf>
    <xf numFmtId="0" fontId="70" fillId="0" borderId="1" xfId="34" applyFont="1" applyFill="1" applyBorder="1"/>
    <xf numFmtId="0" fontId="70" fillId="0" borderId="1" xfId="34" quotePrefix="1" applyFont="1" applyFill="1" applyBorder="1" applyAlignment="1">
      <alignment horizontal="right"/>
    </xf>
    <xf numFmtId="0" fontId="67" fillId="0" borderId="1" xfId="36" applyFont="1" applyFill="1" applyBorder="1"/>
    <xf numFmtId="0" fontId="71" fillId="0" borderId="1" xfId="36" applyFont="1" applyFill="1" applyBorder="1"/>
    <xf numFmtId="0" fontId="33" fillId="0" borderId="1" xfId="34" quotePrefix="1" applyFont="1" applyFill="1" applyBorder="1" applyAlignment="1">
      <alignment horizontal="left"/>
    </xf>
    <xf numFmtId="0" fontId="33" fillId="0" borderId="1" xfId="34" quotePrefix="1" applyFont="1" applyFill="1" applyBorder="1" applyAlignment="1">
      <alignment vertical="center"/>
    </xf>
    <xf numFmtId="0" fontId="67" fillId="0" borderId="1" xfId="34" applyFont="1" applyFill="1" applyBorder="1"/>
    <xf numFmtId="0" fontId="34" fillId="0" borderId="1" xfId="36" quotePrefix="1" applyFont="1" applyFill="1" applyBorder="1"/>
    <xf numFmtId="0" fontId="67" fillId="0" borderId="0" xfId="36" applyFont="1" applyFill="1" applyBorder="1"/>
    <xf numFmtId="0" fontId="33" fillId="0" borderId="1" xfId="36" applyFont="1" applyFill="1" applyBorder="1" applyAlignment="1" applyProtection="1">
      <alignment horizontal="right" wrapText="1"/>
      <protection locked="0"/>
    </xf>
    <xf numFmtId="0" fontId="34" fillId="0" borderId="1" xfId="34" applyFont="1" applyFill="1" applyBorder="1" applyProtection="1">
      <protection locked="0"/>
    </xf>
    <xf numFmtId="0" fontId="34" fillId="0" borderId="0" xfId="34" applyFont="1" applyFill="1" applyBorder="1"/>
    <xf numFmtId="167" fontId="33" fillId="0" borderId="0" xfId="36" applyNumberFormat="1" applyFont="1" applyFill="1" applyBorder="1" applyAlignment="1" applyProtection="1">
      <alignment wrapText="1"/>
      <protection locked="0"/>
    </xf>
    <xf numFmtId="49" fontId="34" fillId="0" borderId="1" xfId="36" applyNumberFormat="1" applyFont="1" applyFill="1" applyBorder="1" applyAlignment="1">
      <alignment wrapText="1"/>
    </xf>
    <xf numFmtId="49" fontId="33" fillId="0" borderId="1" xfId="36" applyNumberFormat="1" applyFont="1" applyFill="1" applyBorder="1" applyAlignment="1">
      <alignment wrapText="1"/>
    </xf>
    <xf numFmtId="49" fontId="34" fillId="0" borderId="1" xfId="34" applyNumberFormat="1" applyFont="1" applyFill="1" applyBorder="1" applyAlignment="1">
      <alignment wrapText="1"/>
    </xf>
    <xf numFmtId="167" fontId="33" fillId="0" borderId="0" xfId="14" applyNumberFormat="1" applyFont="1" applyFill="1" applyBorder="1" applyProtection="1">
      <protection locked="0"/>
    </xf>
    <xf numFmtId="49" fontId="34" fillId="0" borderId="1" xfId="36" applyNumberFormat="1" applyFont="1" applyFill="1" applyBorder="1" applyAlignment="1">
      <alignment horizontal="center"/>
    </xf>
    <xf numFmtId="167" fontId="33" fillId="0" borderId="1" xfId="36" applyNumberFormat="1" applyFont="1" applyFill="1" applyBorder="1" applyAlignment="1">
      <alignment horizontal="center"/>
    </xf>
    <xf numFmtId="167" fontId="34" fillId="0" borderId="1" xfId="36" applyNumberFormat="1" applyFont="1" applyFill="1" applyBorder="1" applyAlignment="1">
      <alignment horizontal="center"/>
    </xf>
    <xf numFmtId="167" fontId="33" fillId="0" borderId="0" xfId="36" applyNumberFormat="1" applyFont="1" applyFill="1" applyBorder="1" applyAlignment="1">
      <alignment horizontal="center"/>
    </xf>
    <xf numFmtId="49" fontId="34" fillId="0" borderId="1" xfId="34" applyNumberFormat="1" applyFont="1" applyFill="1" applyBorder="1" applyAlignment="1">
      <alignment horizontal="left" wrapText="1"/>
    </xf>
    <xf numFmtId="0" fontId="33" fillId="0" borderId="1" xfId="34" quotePrefix="1" applyFont="1" applyFill="1" applyBorder="1"/>
    <xf numFmtId="0" fontId="34" fillId="0" borderId="1" xfId="34" quotePrefix="1" applyFont="1" applyFill="1" applyBorder="1" applyAlignment="1">
      <alignment horizontal="left" wrapText="1"/>
    </xf>
    <xf numFmtId="49" fontId="33" fillId="0" borderId="1" xfId="34" applyNumberFormat="1" applyFont="1" applyFill="1" applyBorder="1" applyAlignment="1">
      <alignment horizontal="left" wrapText="1"/>
    </xf>
    <xf numFmtId="0" fontId="33" fillId="0" borderId="0" xfId="34" quotePrefix="1" applyFont="1" applyFill="1" applyBorder="1" applyAlignment="1">
      <alignment horizontal="right"/>
    </xf>
    <xf numFmtId="0" fontId="33" fillId="0" borderId="0" xfId="34" applyFont="1" applyFill="1" applyBorder="1" applyAlignment="1">
      <alignment horizontal="right"/>
    </xf>
    <xf numFmtId="49" fontId="33" fillId="0" borderId="0" xfId="34" applyNumberFormat="1" applyFont="1" applyFill="1" applyBorder="1" applyAlignment="1">
      <alignment horizontal="left" wrapText="1"/>
    </xf>
    <xf numFmtId="1" fontId="33" fillId="0" borderId="0" xfId="34" quotePrefix="1" applyNumberFormat="1" applyFont="1" applyFill="1" applyBorder="1" applyAlignment="1">
      <alignment horizontal="right"/>
    </xf>
    <xf numFmtId="49" fontId="34" fillId="0" borderId="0" xfId="36" applyNumberFormat="1" applyFont="1" applyFill="1" applyBorder="1" applyAlignment="1">
      <alignment wrapText="1"/>
    </xf>
    <xf numFmtId="167" fontId="33" fillId="0" borderId="0" xfId="36" applyNumberFormat="1" applyFont="1" applyFill="1" applyBorder="1"/>
    <xf numFmtId="49" fontId="34" fillId="0" borderId="1" xfId="36" applyNumberFormat="1" applyFont="1" applyFill="1" applyBorder="1" applyAlignment="1">
      <alignment horizontal="left" wrapText="1"/>
    </xf>
    <xf numFmtId="3" fontId="34" fillId="0" borderId="1" xfId="34" quotePrefix="1" applyNumberFormat="1" applyFont="1" applyFill="1" applyBorder="1" applyAlignment="1">
      <alignment horizontal="right"/>
    </xf>
    <xf numFmtId="3" fontId="33" fillId="0" borderId="1" xfId="34" quotePrefix="1" applyNumberFormat="1" applyFont="1" applyFill="1" applyBorder="1" applyAlignment="1">
      <alignment horizontal="right"/>
    </xf>
    <xf numFmtId="0" fontId="33" fillId="0" borderId="1" xfId="34" quotePrefix="1" applyFont="1" applyFill="1" applyBorder="1" applyAlignment="1">
      <alignment horizontal="left" wrapText="1"/>
    </xf>
    <xf numFmtId="0" fontId="33" fillId="0" borderId="1" xfId="36" quotePrefix="1" applyFont="1" applyFill="1" applyBorder="1" applyAlignment="1">
      <alignment horizontal="left" vertical="center"/>
    </xf>
    <xf numFmtId="0" fontId="33" fillId="0" borderId="0" xfId="36" applyFont="1" applyFill="1" applyBorder="1" applyAlignment="1">
      <alignment horizontal="right"/>
    </xf>
    <xf numFmtId="0" fontId="33" fillId="0" borderId="1" xfId="34" quotePrefix="1" applyFont="1" applyFill="1" applyBorder="1" applyAlignment="1">
      <alignment horizontal="left" vertical="center"/>
    </xf>
    <xf numFmtId="0" fontId="33" fillId="0" borderId="1" xfId="34" quotePrefix="1" applyFont="1" applyFill="1" applyBorder="1" applyAlignment="1">
      <alignment horizontal="right" vertical="center"/>
    </xf>
    <xf numFmtId="0" fontId="72" fillId="0" borderId="1" xfId="34" applyFont="1" applyFill="1" applyBorder="1"/>
    <xf numFmtId="0" fontId="73" fillId="0" borderId="1" xfId="34" applyFont="1" applyFill="1" applyBorder="1" applyProtection="1">
      <protection locked="0"/>
    </xf>
    <xf numFmtId="167" fontId="66" fillId="0" borderId="1" xfId="6" applyNumberFormat="1" applyFont="1" applyFill="1" applyBorder="1" applyProtection="1">
      <protection locked="0"/>
    </xf>
    <xf numFmtId="0" fontId="33" fillId="0" borderId="1" xfId="36" applyFont="1" applyFill="1" applyBorder="1" applyAlignment="1">
      <alignment horizontal="right" vertical="center"/>
    </xf>
    <xf numFmtId="0" fontId="67" fillId="0" borderId="1" xfId="34" applyFont="1" applyFill="1" applyBorder="1" applyAlignment="1">
      <alignment horizontal="right"/>
    </xf>
    <xf numFmtId="167" fontId="33" fillId="0" borderId="0" xfId="56" applyNumberFormat="1" applyFont="1" applyFill="1" applyBorder="1">
      <alignment wrapText="1"/>
    </xf>
    <xf numFmtId="167" fontId="34" fillId="0" borderId="0" xfId="36" applyNumberFormat="1" applyFont="1" applyFill="1" applyBorder="1"/>
    <xf numFmtId="0" fontId="34" fillId="0" borderId="1" xfId="36" quotePrefix="1" applyFont="1" applyFill="1" applyBorder="1" applyAlignment="1">
      <alignment vertical="center"/>
    </xf>
    <xf numFmtId="49" fontId="33" fillId="0" borderId="1" xfId="34" applyNumberFormat="1" applyFont="1" applyFill="1" applyBorder="1" applyAlignment="1">
      <alignment wrapText="1"/>
    </xf>
    <xf numFmtId="0" fontId="33" fillId="0" borderId="1" xfId="36" applyFont="1" applyFill="1" applyBorder="1" applyAlignment="1" applyProtection="1">
      <alignment horizontal="right"/>
      <protection locked="0"/>
    </xf>
    <xf numFmtId="167" fontId="33" fillId="0" borderId="1" xfId="36" applyNumberFormat="1" applyFont="1" applyFill="1" applyBorder="1" applyProtection="1">
      <protection locked="0"/>
    </xf>
    <xf numFmtId="0" fontId="34" fillId="0" borderId="0" xfId="36" applyFont="1" applyFill="1" applyBorder="1" applyAlignment="1" applyProtection="1">
      <alignment horizontal="right"/>
      <protection locked="0"/>
    </xf>
    <xf numFmtId="0" fontId="34" fillId="0" borderId="0" xfId="36" applyFont="1" applyFill="1" applyBorder="1" applyProtection="1">
      <protection locked="0"/>
    </xf>
    <xf numFmtId="1" fontId="34" fillId="0" borderId="1" xfId="36" quotePrefix="1" applyNumberFormat="1" applyFont="1" applyFill="1" applyBorder="1"/>
    <xf numFmtId="0" fontId="34" fillId="0" borderId="1" xfId="34" quotePrefix="1" applyFont="1" applyFill="1" applyBorder="1" applyAlignment="1">
      <alignment horizontal="left"/>
    </xf>
    <xf numFmtId="49" fontId="34" fillId="0" borderId="0" xfId="36" applyNumberFormat="1" applyFont="1" applyFill="1" applyBorder="1" applyAlignment="1">
      <alignment horizontal="left" wrapText="1"/>
    </xf>
    <xf numFmtId="1" fontId="34" fillId="0" borderId="1" xfId="36" quotePrefix="1" applyNumberFormat="1" applyFont="1" applyFill="1" applyBorder="1" applyAlignment="1">
      <alignment horizontal="left"/>
    </xf>
    <xf numFmtId="1" fontId="34" fillId="0" borderId="1" xfId="34" quotePrefix="1" applyNumberFormat="1" applyFont="1" applyFill="1" applyBorder="1" applyAlignment="1">
      <alignment horizontal="left"/>
    </xf>
    <xf numFmtId="1" fontId="33" fillId="0" borderId="1" xfId="34" quotePrefix="1" applyNumberFormat="1" applyFont="1" applyFill="1" applyBorder="1" applyAlignment="1">
      <alignment horizontal="left"/>
    </xf>
    <xf numFmtId="1" fontId="33" fillId="0" borderId="0" xfId="34" quotePrefix="1" applyNumberFormat="1" applyFont="1" applyFill="1" applyBorder="1" applyAlignment="1">
      <alignment horizontal="left"/>
    </xf>
    <xf numFmtId="0" fontId="33" fillId="0" borderId="1" xfId="36" quotePrefix="1" applyFont="1" applyFill="1" applyBorder="1"/>
    <xf numFmtId="167" fontId="34" fillId="0" borderId="1" xfId="9" applyNumberFormat="1" applyFont="1" applyFill="1" applyBorder="1" applyAlignment="1">
      <alignment horizontal="right"/>
    </xf>
    <xf numFmtId="49" fontId="33" fillId="0" borderId="1" xfId="36" applyNumberFormat="1" applyFont="1" applyFill="1" applyBorder="1" applyAlignment="1">
      <alignment horizontal="right" wrapText="1"/>
    </xf>
    <xf numFmtId="0" fontId="33" fillId="0" borderId="1" xfId="34" applyFont="1" applyFill="1" applyBorder="1"/>
    <xf numFmtId="167" fontId="33" fillId="0" borderId="1" xfId="34" applyNumberFormat="1" applyFont="1" applyFill="1" applyBorder="1"/>
    <xf numFmtId="0" fontId="73" fillId="0" borderId="0" xfId="36" applyFont="1" applyFill="1" applyBorder="1" applyAlignment="1">
      <alignment horizontal="right"/>
    </xf>
    <xf numFmtId="0" fontId="73" fillId="0" borderId="0" xfId="36" applyFont="1" applyFill="1" applyBorder="1"/>
    <xf numFmtId="167" fontId="73" fillId="0" borderId="0" xfId="36" applyNumberFormat="1" applyFont="1" applyFill="1" applyBorder="1"/>
    <xf numFmtId="167" fontId="34" fillId="0" borderId="1" xfId="14" applyNumberFormat="1" applyFont="1" applyFill="1" applyBorder="1" applyAlignment="1" applyProtection="1">
      <alignment wrapText="1"/>
      <protection locked="0"/>
    </xf>
    <xf numFmtId="167" fontId="33" fillId="0" borderId="1" xfId="36" applyNumberFormat="1" applyFont="1" applyFill="1" applyBorder="1" applyAlignment="1">
      <alignment wrapText="1"/>
    </xf>
    <xf numFmtId="0" fontId="33" fillId="0" borderId="0" xfId="36" applyFont="1" applyFill="1" applyBorder="1" applyAlignment="1">
      <alignment horizontal="right" wrapText="1"/>
    </xf>
    <xf numFmtId="0" fontId="33" fillId="0" borderId="0" xfId="36" applyFont="1" applyFill="1" applyBorder="1" applyAlignment="1">
      <alignment wrapText="1"/>
    </xf>
    <xf numFmtId="167" fontId="33" fillId="0" borderId="0" xfId="36" applyNumberFormat="1" applyFont="1" applyFill="1" applyBorder="1" applyAlignment="1">
      <alignment wrapText="1"/>
    </xf>
    <xf numFmtId="49" fontId="33" fillId="0" borderId="1" xfId="36" applyNumberFormat="1" applyFont="1" applyFill="1" applyBorder="1" applyAlignment="1">
      <alignment horizontal="left" wrapText="1"/>
    </xf>
    <xf numFmtId="167" fontId="33" fillId="0" borderId="1" xfId="14" applyNumberFormat="1" applyFont="1" applyFill="1" applyBorder="1" applyAlignment="1" applyProtection="1">
      <alignment wrapText="1"/>
      <protection locked="0"/>
    </xf>
    <xf numFmtId="0" fontId="66" fillId="0" borderId="1" xfId="36" applyFont="1" applyFill="1" applyBorder="1" applyAlignment="1">
      <alignment horizontal="right"/>
    </xf>
    <xf numFmtId="0" fontId="73" fillId="0" borderId="1" xfId="36" applyFont="1" applyFill="1" applyBorder="1" applyAlignment="1" applyProtection="1">
      <alignment horizontal="right" wrapText="1"/>
      <protection locked="0"/>
    </xf>
    <xf numFmtId="0" fontId="66" fillId="0" borderId="0" xfId="36" applyFont="1" applyFill="1" applyBorder="1" applyAlignment="1">
      <alignment horizontal="right"/>
    </xf>
    <xf numFmtId="0" fontId="73" fillId="0" borderId="0" xfId="36" applyFont="1" applyFill="1" applyBorder="1" applyAlignment="1" applyProtection="1">
      <alignment horizontal="right" wrapText="1"/>
      <protection locked="0"/>
    </xf>
    <xf numFmtId="0" fontId="66" fillId="0" borderId="0" xfId="36" applyFont="1" applyFill="1" applyBorder="1"/>
    <xf numFmtId="0" fontId="33" fillId="0" borderId="1" xfId="36" quotePrefix="1" applyFont="1" applyFill="1" applyBorder="1" applyAlignment="1">
      <alignment vertical="top"/>
    </xf>
    <xf numFmtId="0" fontId="33" fillId="0" borderId="0" xfId="36" quotePrefix="1" applyFont="1" applyFill="1" applyBorder="1" applyAlignment="1">
      <alignment horizontal="right"/>
    </xf>
    <xf numFmtId="49" fontId="33" fillId="0" borderId="0" xfId="36" applyNumberFormat="1" applyFont="1" applyFill="1" applyBorder="1" applyAlignment="1">
      <alignment wrapText="1"/>
    </xf>
    <xf numFmtId="1" fontId="33" fillId="0" borderId="0" xfId="36" quotePrefix="1" applyNumberFormat="1" applyFont="1" applyFill="1" applyBorder="1" applyAlignment="1">
      <alignment horizontal="right"/>
    </xf>
    <xf numFmtId="0" fontId="33" fillId="0" borderId="1" xfId="34" applyFont="1" applyFill="1" applyBorder="1" applyAlignment="1">
      <alignment horizontal="right" vertical="center"/>
    </xf>
    <xf numFmtId="0" fontId="34" fillId="0" borderId="1" xfId="34" applyFont="1" applyFill="1" applyBorder="1" applyAlignment="1" applyProtection="1">
      <alignment horizontal="left" wrapText="1"/>
      <protection locked="0"/>
    </xf>
    <xf numFmtId="0" fontId="33" fillId="0" borderId="0" xfId="36" applyFont="1" applyFill="1" applyBorder="1" applyAlignment="1" applyProtection="1">
      <alignment horizontal="right" wrapText="1"/>
      <protection locked="0"/>
    </xf>
    <xf numFmtId="1" fontId="33" fillId="0" borderId="1" xfId="36" quotePrefix="1" applyNumberFormat="1" applyFont="1" applyFill="1" applyBorder="1"/>
    <xf numFmtId="167" fontId="33" fillId="0" borderId="1" xfId="9" quotePrefix="1" applyNumberFormat="1" applyFont="1" applyFill="1" applyBorder="1"/>
    <xf numFmtId="0" fontId="67" fillId="0" borderId="0" xfId="34" applyFont="1" applyFill="1" applyBorder="1" applyAlignment="1">
      <alignment horizontal="right"/>
    </xf>
    <xf numFmtId="0" fontId="71" fillId="0" borderId="1" xfId="34" applyFont="1" applyFill="1" applyBorder="1"/>
    <xf numFmtId="0" fontId="34" fillId="0" borderId="1" xfId="34" quotePrefix="1" applyFont="1" applyFill="1" applyBorder="1" applyAlignment="1" applyProtection="1">
      <alignment wrapText="1"/>
      <protection locked="0"/>
    </xf>
    <xf numFmtId="49" fontId="33" fillId="0" borderId="0" xfId="34" applyNumberFormat="1" applyFont="1" applyFill="1" applyBorder="1" applyAlignment="1">
      <alignment wrapText="1"/>
    </xf>
    <xf numFmtId="49" fontId="33" fillId="0" borderId="1" xfId="36" applyNumberFormat="1" applyFont="1" applyFill="1" applyBorder="1" applyAlignment="1">
      <alignment horizontal="center"/>
    </xf>
    <xf numFmtId="0" fontId="34" fillId="0" borderId="0" xfId="36" applyFont="1" applyFill="1" applyAlignment="1">
      <alignment horizontal="right"/>
    </xf>
    <xf numFmtId="0" fontId="24" fillId="0" borderId="0" xfId="56" applyFont="1" applyFill="1">
      <alignment wrapText="1"/>
    </xf>
    <xf numFmtId="167" fontId="33" fillId="0" borderId="0" xfId="56" applyNumberFormat="1" applyFont="1" applyFill="1">
      <alignment wrapText="1"/>
    </xf>
    <xf numFmtId="0" fontId="3" fillId="0" borderId="1" xfId="36" applyFont="1" applyFill="1" applyBorder="1"/>
    <xf numFmtId="0" fontId="33" fillId="0" borderId="1" xfId="36" applyFont="1" applyFill="1" applyBorder="1" applyAlignment="1" applyProtection="1">
      <alignment horizontal="left" wrapText="1"/>
      <protection locked="0"/>
    </xf>
    <xf numFmtId="37" fontId="6" fillId="0" borderId="0" xfId="0" applyNumberFormat="1" applyFont="1" applyFill="1" applyBorder="1">
      <alignment wrapText="1"/>
    </xf>
    <xf numFmtId="3" fontId="47" fillId="0" borderId="0" xfId="36" applyNumberFormat="1" applyFont="1" applyFill="1"/>
    <xf numFmtId="0" fontId="33" fillId="0" borderId="1" xfId="36" applyFont="1" applyFill="1" applyBorder="1"/>
    <xf numFmtId="0" fontId="33" fillId="0" borderId="1" xfId="36" applyFont="1" applyFill="1" applyBorder="1" applyAlignment="1" applyProtection="1">
      <alignment wrapText="1"/>
      <protection locked="0"/>
    </xf>
    <xf numFmtId="0" fontId="33" fillId="0" borderId="1" xfId="34" applyFont="1" applyFill="1" applyBorder="1" applyAlignment="1" applyProtection="1">
      <alignment wrapText="1"/>
      <protection locked="0"/>
    </xf>
    <xf numFmtId="0" fontId="33" fillId="0" borderId="1" xfId="36" applyFont="1" applyFill="1" applyBorder="1" applyProtection="1">
      <protection locked="0"/>
    </xf>
    <xf numFmtId="0" fontId="33" fillId="0" borderId="1" xfId="34" applyFont="1" applyFill="1" applyBorder="1" applyAlignment="1">
      <alignment horizontal="left" wrapText="1"/>
    </xf>
    <xf numFmtId="0" fontId="33" fillId="0" borderId="1" xfId="36" applyFont="1" applyFill="1" applyBorder="1" applyAlignment="1">
      <alignment wrapText="1"/>
    </xf>
    <xf numFmtId="49" fontId="33" fillId="0" borderId="1" xfId="36" applyNumberFormat="1" applyFont="1" applyFill="1" applyBorder="1" applyAlignment="1">
      <alignment horizontal="left"/>
    </xf>
    <xf numFmtId="0" fontId="34" fillId="0" borderId="1" xfId="41" applyFont="1" applyFill="1" applyBorder="1" applyAlignment="1">
      <alignment horizontal="left"/>
    </xf>
    <xf numFmtId="49" fontId="38" fillId="0" borderId="1" xfId="0" applyNumberFormat="1" applyFont="1" applyFill="1" applyBorder="1" applyAlignment="1"/>
    <xf numFmtId="0" fontId="28" fillId="0" borderId="1" xfId="0" quotePrefix="1" applyFont="1" applyFill="1" applyBorder="1" applyAlignment="1">
      <alignment horizontal="left"/>
    </xf>
    <xf numFmtId="1" fontId="28" fillId="0" borderId="4" xfId="0" quotePrefix="1" applyNumberFormat="1" applyFont="1" applyBorder="1" applyAlignment="1">
      <alignment horizontal="right"/>
    </xf>
    <xf numFmtId="0" fontId="28" fillId="0" borderId="1" xfId="36" quotePrefix="1" applyFont="1" applyFill="1" applyBorder="1" applyAlignment="1">
      <alignment horizontal="left"/>
    </xf>
    <xf numFmtId="49" fontId="28" fillId="3" borderId="1" xfId="0" applyNumberFormat="1" applyFont="1" applyFill="1" applyBorder="1">
      <alignment wrapText="1"/>
    </xf>
    <xf numFmtId="49" fontId="28" fillId="0" borderId="1" xfId="0" applyNumberFormat="1" applyFont="1" applyFill="1" applyBorder="1">
      <alignment wrapText="1"/>
    </xf>
    <xf numFmtId="49" fontId="28" fillId="0" borderId="1" xfId="0" applyNumberFormat="1" applyFont="1" applyFill="1" applyBorder="1" applyAlignment="1">
      <alignment horizontal="left" wrapText="1"/>
    </xf>
    <xf numFmtId="49" fontId="28" fillId="0" borderId="1" xfId="0" applyNumberFormat="1" applyFont="1" applyBorder="1" applyAlignment="1">
      <alignment horizontal="left" wrapText="1"/>
    </xf>
    <xf numFmtId="0" fontId="28" fillId="0" borderId="2" xfId="0" applyFont="1" applyBorder="1" applyAlignment="1">
      <alignment horizontal="left"/>
    </xf>
    <xf numFmtId="0" fontId="33" fillId="0" borderId="1" xfId="37" applyFont="1" applyFill="1" applyBorder="1" applyAlignment="1">
      <alignment horizontal="left" wrapText="1"/>
    </xf>
    <xf numFmtId="0" fontId="33" fillId="0" borderId="1" xfId="35" applyFont="1" applyFill="1" applyBorder="1" applyAlignment="1">
      <alignment wrapText="1"/>
    </xf>
    <xf numFmtId="0" fontId="23" fillId="0" borderId="1" xfId="57" applyFont="1" applyFill="1" applyBorder="1" applyAlignment="1">
      <alignment horizontal="left" wrapText="1"/>
    </xf>
    <xf numFmtId="49" fontId="34" fillId="0" borderId="1" xfId="0" applyNumberFormat="1" applyFont="1" applyFill="1" applyBorder="1" applyAlignment="1"/>
    <xf numFmtId="0" fontId="34" fillId="0" borderId="1" xfId="35" quotePrefix="1" applyFont="1" applyFill="1" applyBorder="1" applyAlignment="1">
      <alignment horizontal="left"/>
    </xf>
    <xf numFmtId="49" fontId="34" fillId="0" borderId="1" xfId="0" applyNumberFormat="1" applyFont="1" applyFill="1" applyBorder="1" applyAlignment="1">
      <alignment horizontal="left"/>
    </xf>
    <xf numFmtId="3" fontId="2" fillId="0" borderId="0" xfId="41" applyNumberFormat="1" applyFill="1" applyBorder="1" applyAlignment="1"/>
    <xf numFmtId="0" fontId="2" fillId="0" borderId="0" xfId="41" applyFill="1" applyBorder="1" applyAlignment="1">
      <alignment wrapText="1"/>
    </xf>
    <xf numFmtId="0" fontId="2" fillId="0" borderId="0" xfId="41" applyFill="1" applyAlignment="1">
      <alignment wrapText="1"/>
    </xf>
    <xf numFmtId="0" fontId="33" fillId="0" borderId="0" xfId="35" applyFont="1" applyFill="1" applyBorder="1"/>
    <xf numFmtId="0" fontId="33" fillId="0" borderId="0" xfId="35" quotePrefix="1" applyFont="1" applyFill="1" applyBorder="1"/>
    <xf numFmtId="164" fontId="34" fillId="0" borderId="0" xfId="8" applyNumberFormat="1" applyFont="1" applyFill="1" applyBorder="1" applyAlignment="1">
      <alignment horizontal="right"/>
    </xf>
    <xf numFmtId="3" fontId="2" fillId="0" borderId="0" xfId="41" applyNumberFormat="1" applyFill="1" applyBorder="1"/>
    <xf numFmtId="164" fontId="42" fillId="0" borderId="0" xfId="8" applyNumberFormat="1" applyFont="1" applyFill="1" applyBorder="1"/>
    <xf numFmtId="164" fontId="34" fillId="0" borderId="0" xfId="8" applyNumberFormat="1" applyFont="1" applyFill="1" applyBorder="1"/>
    <xf numFmtId="0" fontId="34" fillId="0" borderId="0" xfId="35" applyFont="1" applyFill="1" applyBorder="1"/>
    <xf numFmtId="167" fontId="34" fillId="0" borderId="0" xfId="25" applyNumberFormat="1" applyFont="1" applyFill="1" applyBorder="1"/>
    <xf numFmtId="43" fontId="42" fillId="0" borderId="0" xfId="27" applyFont="1" applyFill="1" applyBorder="1" applyAlignment="1">
      <alignment vertical="center" wrapText="1"/>
    </xf>
    <xf numFmtId="3" fontId="36" fillId="0" borderId="0" xfId="27" applyNumberFormat="1" applyFont="1" applyFill="1" applyBorder="1" applyAlignment="1">
      <alignment horizontal="center" vertical="center" wrapText="1"/>
    </xf>
    <xf numFmtId="164" fontId="33" fillId="0" borderId="0" xfId="35" applyNumberFormat="1" applyFont="1" applyFill="1" applyBorder="1"/>
    <xf numFmtId="164" fontId="38" fillId="0" borderId="0" xfId="8" applyNumberFormat="1" applyFont="1" applyFill="1" applyBorder="1" applyAlignment="1">
      <alignment horizontal="right"/>
    </xf>
    <xf numFmtId="49" fontId="38" fillId="0" borderId="0" xfId="41" applyNumberFormat="1" applyFont="1" applyFill="1" applyBorder="1" applyAlignment="1">
      <alignment horizontal="right"/>
    </xf>
    <xf numFmtId="49" fontId="34" fillId="0" borderId="0" xfId="41" applyNumberFormat="1" applyFont="1" applyFill="1" applyBorder="1" applyAlignment="1">
      <alignment horizontal="right"/>
    </xf>
    <xf numFmtId="164" fontId="42" fillId="0" borderId="0" xfId="8" applyNumberFormat="1" applyFont="1" applyFill="1" applyBorder="1" applyAlignment="1">
      <alignment horizontal="center" vertical="center" wrapText="1"/>
    </xf>
    <xf numFmtId="168" fontId="34" fillId="0" borderId="0" xfId="30" applyNumberFormat="1" applyFont="1" applyFill="1" applyBorder="1" applyAlignment="1">
      <alignment horizontal="right" wrapText="1"/>
    </xf>
    <xf numFmtId="167" fontId="34" fillId="0" borderId="0" xfId="25" applyNumberFormat="1" applyFont="1" applyFill="1" applyBorder="1" applyAlignment="1">
      <alignment wrapText="1"/>
    </xf>
    <xf numFmtId="0" fontId="33" fillId="0" borderId="0" xfId="35" quotePrefix="1" applyFont="1" applyFill="1" applyBorder="1" applyAlignment="1">
      <alignment horizontal="left" vertical="center"/>
    </xf>
    <xf numFmtId="164" fontId="34" fillId="0" borderId="0" xfId="8" quotePrefix="1" applyNumberFormat="1" applyFont="1" applyFill="1" applyBorder="1" applyAlignment="1">
      <alignment vertical="center"/>
    </xf>
    <xf numFmtId="0" fontId="34" fillId="0" borderId="0" xfId="35" quotePrefix="1" applyFont="1" applyFill="1" applyBorder="1" applyAlignment="1">
      <alignment vertical="center"/>
    </xf>
    <xf numFmtId="164" fontId="33" fillId="0" borderId="0" xfId="35" quotePrefix="1" applyNumberFormat="1" applyFont="1" applyFill="1" applyBorder="1" applyAlignment="1">
      <alignment vertical="center"/>
    </xf>
    <xf numFmtId="49" fontId="43" fillId="0" borderId="0" xfId="41" applyNumberFormat="1" applyFont="1" applyFill="1" applyBorder="1" applyAlignment="1">
      <alignment horizontal="right"/>
    </xf>
    <xf numFmtId="0" fontId="34" fillId="0" borderId="0" xfId="35" quotePrefix="1" applyFont="1" applyFill="1" applyBorder="1"/>
    <xf numFmtId="164" fontId="34" fillId="0" borderId="0" xfId="8" applyNumberFormat="1" applyFont="1" applyFill="1" applyBorder="1" applyAlignment="1">
      <alignment horizontal="center"/>
    </xf>
    <xf numFmtId="3" fontId="42" fillId="0" borderId="0" xfId="27" applyNumberFormat="1" applyFont="1" applyFill="1" applyBorder="1"/>
    <xf numFmtId="164" fontId="40" fillId="0" borderId="0" xfId="41" applyNumberFormat="1" applyFont="1" applyFill="1" applyBorder="1" applyAlignment="1">
      <alignment horizontal="right"/>
    </xf>
    <xf numFmtId="164" fontId="36" fillId="0" borderId="0" xfId="8" applyNumberFormat="1" applyFont="1" applyFill="1" applyBorder="1"/>
    <xf numFmtId="3" fontId="42" fillId="0" borderId="0" xfId="27" applyNumberFormat="1" applyFont="1" applyFill="1" applyBorder="1" applyAlignment="1">
      <alignment horizontal="center" vertical="center" wrapText="1"/>
    </xf>
    <xf numFmtId="164" fontId="42" fillId="0" borderId="0" xfId="8" applyNumberFormat="1" applyFont="1" applyFill="1" applyBorder="1" applyAlignment="1">
      <alignment horizontal="right"/>
    </xf>
    <xf numFmtId="164" fontId="36" fillId="0" borderId="0" xfId="8" applyNumberFormat="1" applyFont="1" applyFill="1" applyBorder="1" applyAlignment="1">
      <alignment horizontal="right"/>
    </xf>
    <xf numFmtId="167" fontId="42" fillId="0" borderId="0" xfId="25" applyNumberFormat="1" applyFont="1" applyFill="1" applyBorder="1"/>
    <xf numFmtId="167" fontId="36" fillId="0" borderId="0" xfId="25" applyNumberFormat="1" applyFont="1" applyFill="1" applyBorder="1"/>
    <xf numFmtId="167" fontId="34" fillId="0" borderId="0" xfId="25" applyNumberFormat="1" applyFont="1" applyFill="1" applyBorder="1" applyAlignment="1">
      <alignment horizontal="center"/>
    </xf>
    <xf numFmtId="49" fontId="44" fillId="0" borderId="0" xfId="41" applyNumberFormat="1" applyFont="1" applyFill="1" applyBorder="1" applyAlignment="1">
      <alignment horizontal="right"/>
    </xf>
    <xf numFmtId="167" fontId="33" fillId="0" borderId="0" xfId="25" applyNumberFormat="1" applyFont="1" applyFill="1" applyBorder="1"/>
    <xf numFmtId="3" fontId="45" fillId="0" borderId="0" xfId="41" applyNumberFormat="1" applyFont="1" applyFill="1" applyBorder="1" applyAlignment="1"/>
    <xf numFmtId="164" fontId="43" fillId="0" borderId="0" xfId="8" applyNumberFormat="1" applyFont="1" applyFill="1" applyBorder="1" applyAlignment="1">
      <alignment horizontal="right"/>
    </xf>
    <xf numFmtId="49" fontId="33" fillId="0" borderId="0" xfId="8" applyNumberFormat="1" applyFont="1" applyFill="1" applyBorder="1"/>
    <xf numFmtId="167" fontId="34" fillId="0" borderId="0" xfId="35" applyNumberFormat="1" applyFont="1" applyFill="1" applyBorder="1"/>
    <xf numFmtId="164" fontId="34" fillId="0" borderId="0" xfId="8" quotePrefix="1" applyNumberFormat="1" applyFont="1" applyFill="1" applyBorder="1"/>
    <xf numFmtId="164" fontId="34" fillId="0" borderId="0" xfId="8" applyNumberFormat="1" applyFont="1" applyFill="1" applyBorder="1" applyAlignment="1">
      <alignment wrapText="1"/>
    </xf>
    <xf numFmtId="43" fontId="36" fillId="0" borderId="0" xfId="27" applyFont="1" applyFill="1" applyBorder="1" applyAlignment="1">
      <alignment horizontal="center" vertical="center" wrapText="1"/>
    </xf>
    <xf numFmtId="0" fontId="34" fillId="0" borderId="0" xfId="35" applyFont="1" applyFill="1" applyBorder="1" applyAlignment="1">
      <alignment horizontal="center"/>
    </xf>
    <xf numFmtId="49" fontId="40" fillId="0" borderId="0" xfId="41" applyNumberFormat="1" applyFont="1" applyFill="1" applyBorder="1"/>
    <xf numFmtId="164" fontId="38" fillId="0" borderId="0" xfId="8" applyNumberFormat="1" applyFont="1" applyFill="1" applyBorder="1"/>
    <xf numFmtId="168" fontId="38" fillId="0" borderId="0" xfId="41" applyNumberFormat="1" applyFont="1" applyFill="1" applyBorder="1"/>
    <xf numFmtId="0" fontId="35" fillId="0" borderId="0" xfId="41" applyFont="1" applyFill="1" applyBorder="1"/>
    <xf numFmtId="164" fontId="46" fillId="0" borderId="0" xfId="8" applyNumberFormat="1" applyFont="1" applyFill="1" applyBorder="1" applyAlignment="1">
      <alignment horizontal="right"/>
    </xf>
    <xf numFmtId="167" fontId="34" fillId="0" borderId="0" xfId="25" applyNumberFormat="1" applyFont="1" applyFill="1" applyBorder="1" applyAlignment="1">
      <alignment horizontal="right"/>
    </xf>
    <xf numFmtId="3" fontId="47" fillId="0" borderId="0" xfId="41" applyNumberFormat="1" applyFont="1" applyFill="1" applyBorder="1" applyAlignment="1"/>
    <xf numFmtId="0" fontId="1" fillId="0" borderId="0" xfId="57" applyFont="1" applyFill="1" applyBorder="1" applyAlignment="1">
      <alignment vertical="top"/>
    </xf>
    <xf numFmtId="0" fontId="1" fillId="0" borderId="0" xfId="57" applyFont="1" applyFill="1" applyAlignment="1">
      <alignment vertical="top"/>
    </xf>
    <xf numFmtId="0" fontId="1" fillId="0" borderId="0" xfId="57" applyFont="1" applyFill="1" applyBorder="1" applyAlignment="1">
      <alignment horizontal="left"/>
    </xf>
    <xf numFmtId="0" fontId="1" fillId="0" borderId="0" xfId="57" applyFont="1" applyFill="1" applyAlignment="1">
      <alignment horizontal="left"/>
    </xf>
    <xf numFmtId="0" fontId="28" fillId="0" borderId="0" xfId="57" applyFont="1" applyFill="1"/>
    <xf numFmtId="0" fontId="30" fillId="0" borderId="0" xfId="57" quotePrefix="1" applyFont="1" applyFill="1" applyBorder="1"/>
    <xf numFmtId="167" fontId="28" fillId="0" borderId="0" xfId="61" applyNumberFormat="1" applyFont="1" applyFill="1" applyBorder="1" applyProtection="1">
      <protection locked="0"/>
    </xf>
    <xf numFmtId="0" fontId="28" fillId="0" borderId="0" xfId="57" applyFont="1" applyFill="1" applyBorder="1" applyAlignment="1" applyProtection="1">
      <alignment wrapText="1"/>
      <protection locked="0"/>
    </xf>
    <xf numFmtId="43" fontId="32" fillId="0" borderId="0" xfId="58" applyFont="1" applyFill="1" applyBorder="1" applyAlignment="1" applyProtection="1">
      <alignment wrapText="1"/>
      <protection locked="0"/>
    </xf>
    <xf numFmtId="0" fontId="30" fillId="0" borderId="0" xfId="57" applyFont="1" applyFill="1" applyAlignment="1"/>
    <xf numFmtId="49" fontId="28" fillId="0" borderId="0" xfId="57" applyNumberFormat="1" applyFont="1" applyFill="1" applyBorder="1" applyAlignment="1">
      <alignment horizontal="center"/>
    </xf>
    <xf numFmtId="43" fontId="32" fillId="0" borderId="0" xfId="58" applyFont="1" applyFill="1" applyBorder="1" applyAlignment="1">
      <alignment horizontal="center"/>
    </xf>
    <xf numFmtId="0" fontId="32" fillId="0" borderId="0" xfId="57" applyFont="1" applyFill="1" applyBorder="1"/>
    <xf numFmtId="0" fontId="30" fillId="0" borderId="0" xfId="57" applyFont="1" applyFill="1" applyAlignment="1">
      <alignment vertical="center"/>
    </xf>
    <xf numFmtId="43" fontId="50" fillId="0" borderId="0" xfId="58" applyFont="1" applyFill="1" applyBorder="1" applyAlignment="1"/>
    <xf numFmtId="0" fontId="31" fillId="0" borderId="0" xfId="57" applyFont="1" applyFill="1" applyBorder="1" applyAlignment="1" applyProtection="1">
      <alignment wrapText="1"/>
      <protection locked="0"/>
    </xf>
    <xf numFmtId="3" fontId="28" fillId="0" borderId="0" xfId="57" applyNumberFormat="1" applyFont="1" applyFill="1" applyBorder="1"/>
    <xf numFmtId="0" fontId="5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33" fillId="0" borderId="1" xfId="37" applyFont="1" applyFill="1" applyBorder="1" applyAlignment="1">
      <alignment horizontal="left" wrapText="1"/>
    </xf>
    <xf numFmtId="0" fontId="33" fillId="0" borderId="1" xfId="41" applyFont="1" applyFill="1" applyBorder="1" applyAlignment="1">
      <alignment wrapText="1"/>
    </xf>
    <xf numFmtId="0" fontId="33" fillId="0" borderId="0" xfId="0" applyFont="1" applyFill="1" applyBorder="1" applyAlignment="1">
      <alignment horizontal="center"/>
    </xf>
    <xf numFmtId="0" fontId="33" fillId="0" borderId="1" xfId="35" applyFont="1" applyFill="1" applyBorder="1" applyAlignment="1">
      <alignment wrapText="1"/>
    </xf>
    <xf numFmtId="0" fontId="23" fillId="0" borderId="1" xfId="57" applyFont="1" applyFill="1" applyBorder="1" applyAlignment="1">
      <alignment horizontal="left" wrapText="1"/>
    </xf>
    <xf numFmtId="0" fontId="23" fillId="0" borderId="1" xfId="36" applyFont="1" applyFill="1" applyBorder="1" applyAlignment="1"/>
    <xf numFmtId="0" fontId="30" fillId="0" borderId="1" xfId="36" applyFont="1" applyFill="1" applyBorder="1" applyAlignment="1" applyProtection="1">
      <alignment wrapText="1"/>
      <protection locked="0"/>
    </xf>
    <xf numFmtId="0" fontId="56" fillId="0" borderId="1" xfId="36" applyFont="1" applyFill="1" applyBorder="1" applyAlignment="1" applyProtection="1">
      <alignment wrapText="1"/>
      <protection locked="0"/>
    </xf>
    <xf numFmtId="0" fontId="27" fillId="0" borderId="1" xfId="36" applyFont="1" applyFill="1" applyBorder="1" applyAlignment="1" applyProtection="1">
      <alignment horizontal="left" wrapText="1"/>
      <protection locked="0"/>
    </xf>
    <xf numFmtId="0" fontId="33" fillId="0" borderId="1" xfId="36" applyFont="1" applyFill="1" applyBorder="1" applyAlignment="1" applyProtection="1">
      <alignment wrapText="1"/>
      <protection locked="0"/>
    </xf>
    <xf numFmtId="0" fontId="33" fillId="0" borderId="1" xfId="36" applyFont="1" applyFill="1" applyBorder="1" applyAlignment="1">
      <alignment wrapText="1"/>
    </xf>
    <xf numFmtId="0" fontId="33" fillId="0" borderId="1" xfId="34" applyFont="1" applyFill="1" applyBorder="1" applyAlignment="1" applyProtection="1">
      <alignment wrapText="1"/>
      <protection locked="0"/>
    </xf>
    <xf numFmtId="0" fontId="33" fillId="0" borderId="1" xfId="34" applyFont="1" applyFill="1" applyBorder="1" applyAlignment="1">
      <alignment horizontal="left" wrapText="1"/>
    </xf>
    <xf numFmtId="0" fontId="33" fillId="0" borderId="1" xfId="36" applyFont="1" applyFill="1" applyBorder="1"/>
    <xf numFmtId="49" fontId="33" fillId="0" borderId="1" xfId="36" applyNumberFormat="1" applyFont="1" applyFill="1" applyBorder="1" applyAlignment="1">
      <alignment horizontal="left"/>
    </xf>
    <xf numFmtId="0" fontId="33" fillId="0" borderId="1" xfId="36" applyFont="1" applyFill="1" applyBorder="1" applyProtection="1">
      <protection locked="0"/>
    </xf>
  </cellXfs>
  <cellStyles count="63">
    <cellStyle name="Comma" xfId="1" builtinId="3"/>
    <cellStyle name="Comma [0] 2" xfId="4" xr:uid="{00000000-0005-0000-0000-000001000000}"/>
    <cellStyle name="Comma 10" xfId="5" xr:uid="{00000000-0005-0000-0000-000002000000}"/>
    <cellStyle name="Comma 11" xfId="6" xr:uid="{00000000-0005-0000-0000-000003000000}"/>
    <cellStyle name="Comma 11 2" xfId="59" xr:uid="{00000000-0005-0000-0000-000004000000}"/>
    <cellStyle name="Comma 12" xfId="7" xr:uid="{00000000-0005-0000-0000-000005000000}"/>
    <cellStyle name="Comma 13" xfId="8" xr:uid="{00000000-0005-0000-0000-000006000000}"/>
    <cellStyle name="Comma 14" xfId="9" xr:uid="{00000000-0005-0000-0000-000007000000}"/>
    <cellStyle name="Comma 14 2" xfId="58" xr:uid="{00000000-0005-0000-0000-000008000000}"/>
    <cellStyle name="Comma 2" xfId="10" xr:uid="{00000000-0005-0000-0000-000009000000}"/>
    <cellStyle name="Comma 2 2" xfId="11" xr:uid="{00000000-0005-0000-0000-00000A000000}"/>
    <cellStyle name="Comma 2 2 2" xfId="12" xr:uid="{00000000-0005-0000-0000-00000B000000}"/>
    <cellStyle name="Comma 2 3" xfId="13" xr:uid="{00000000-0005-0000-0000-00000C000000}"/>
    <cellStyle name="Comma 2 4" xfId="14" xr:uid="{00000000-0005-0000-0000-00000D000000}"/>
    <cellStyle name="Comma 2 4 2" xfId="15" xr:uid="{00000000-0005-0000-0000-00000E000000}"/>
    <cellStyle name="Comma 2 5" xfId="16" xr:uid="{00000000-0005-0000-0000-00000F000000}"/>
    <cellStyle name="Comma 2 5 2" xfId="61" xr:uid="{00000000-0005-0000-0000-000010000000}"/>
    <cellStyle name="Comma 3" xfId="17" xr:uid="{00000000-0005-0000-0000-000011000000}"/>
    <cellStyle name="Comma 3 2" xfId="2" xr:uid="{00000000-0005-0000-0000-000012000000}"/>
    <cellStyle name="Comma 3 3" xfId="18" xr:uid="{00000000-0005-0000-0000-000013000000}"/>
    <cellStyle name="Comma 4" xfId="19" xr:uid="{00000000-0005-0000-0000-000014000000}"/>
    <cellStyle name="Comma 5" xfId="20" xr:uid="{00000000-0005-0000-0000-000015000000}"/>
    <cellStyle name="Comma 6" xfId="21" xr:uid="{00000000-0005-0000-0000-000016000000}"/>
    <cellStyle name="Comma 6 2" xfId="22" xr:uid="{00000000-0005-0000-0000-000017000000}"/>
    <cellStyle name="Comma 7" xfId="23" xr:uid="{00000000-0005-0000-0000-000018000000}"/>
    <cellStyle name="Comma 8" xfId="24" xr:uid="{00000000-0005-0000-0000-000019000000}"/>
    <cellStyle name="Comma 8 2" xfId="25" xr:uid="{00000000-0005-0000-0000-00001A000000}"/>
    <cellStyle name="Comma 9" xfId="26" xr:uid="{00000000-0005-0000-0000-00001B000000}"/>
    <cellStyle name="Comma 9 2" xfId="27" xr:uid="{00000000-0005-0000-0000-00001C000000}"/>
    <cellStyle name="Comma 9 2 2" xfId="28" xr:uid="{00000000-0005-0000-0000-00001D000000}"/>
    <cellStyle name="Comma_Sheet1" xfId="29" xr:uid="{00000000-0005-0000-0000-00001E000000}"/>
    <cellStyle name="Comma_Sheet1 2 2" xfId="30" xr:uid="{00000000-0005-0000-0000-00001F000000}"/>
    <cellStyle name="Normal" xfId="0" builtinId="0"/>
    <cellStyle name="Normal 10" xfId="31" xr:uid="{00000000-0005-0000-0000-000021000000}"/>
    <cellStyle name="Normal 11" xfId="32" xr:uid="{00000000-0005-0000-0000-000022000000}"/>
    <cellStyle name="Normal 11 2" xfId="33" xr:uid="{00000000-0005-0000-0000-000023000000}"/>
    <cellStyle name="Normal 12" xfId="34" xr:uid="{00000000-0005-0000-0000-000024000000}"/>
    <cellStyle name="Normal 12 2" xfId="35" xr:uid="{00000000-0005-0000-0000-000025000000}"/>
    <cellStyle name="Normal 12 2 2" xfId="60" xr:uid="{00000000-0005-0000-0000-000026000000}"/>
    <cellStyle name="Normal 13" xfId="36" xr:uid="{00000000-0005-0000-0000-000027000000}"/>
    <cellStyle name="Normal 13 2" xfId="62" xr:uid="{00000000-0005-0000-0000-000028000000}"/>
    <cellStyle name="Normal 14" xfId="37" xr:uid="{00000000-0005-0000-0000-000029000000}"/>
    <cellStyle name="Normal 15" xfId="38" xr:uid="{00000000-0005-0000-0000-00002A000000}"/>
    <cellStyle name="Normal 16" xfId="39" xr:uid="{00000000-0005-0000-0000-00002B000000}"/>
    <cellStyle name="Normal 16 2" xfId="57" xr:uid="{00000000-0005-0000-0000-00002C000000}"/>
    <cellStyle name="Normal 17" xfId="40" xr:uid="{00000000-0005-0000-0000-00002D000000}"/>
    <cellStyle name="Normal 17 2" xfId="56" xr:uid="{00000000-0005-0000-0000-00002E000000}"/>
    <cellStyle name="Normal 18" xfId="41" xr:uid="{00000000-0005-0000-0000-00002F000000}"/>
    <cellStyle name="Normal 19" xfId="42" xr:uid="{00000000-0005-0000-0000-000030000000}"/>
    <cellStyle name="Normal 2" xfId="43" xr:uid="{00000000-0005-0000-0000-000031000000}"/>
    <cellStyle name="Normal 2 16" xfId="44" xr:uid="{00000000-0005-0000-0000-000032000000}"/>
    <cellStyle name="Normal 2 2" xfId="45" xr:uid="{00000000-0005-0000-0000-000033000000}"/>
    <cellStyle name="Normal 2 3" xfId="46" xr:uid="{00000000-0005-0000-0000-000034000000}"/>
    <cellStyle name="Normal 2 4" xfId="47" xr:uid="{00000000-0005-0000-0000-000035000000}"/>
    <cellStyle name="Normal 3" xfId="48" xr:uid="{00000000-0005-0000-0000-000036000000}"/>
    <cellStyle name="Normal 4" xfId="3" xr:uid="{00000000-0005-0000-0000-000037000000}"/>
    <cellStyle name="Normal 4 2" xfId="49" xr:uid="{00000000-0005-0000-0000-000038000000}"/>
    <cellStyle name="Normal 5" xfId="50" xr:uid="{00000000-0005-0000-0000-000039000000}"/>
    <cellStyle name="Normal 6" xfId="51" xr:uid="{00000000-0005-0000-0000-00003A000000}"/>
    <cellStyle name="Normal 7" xfId="52" xr:uid="{00000000-0005-0000-0000-00003B000000}"/>
    <cellStyle name="Normal 8" xfId="53" xr:uid="{00000000-0005-0000-0000-00003C000000}"/>
    <cellStyle name="Normal 9" xfId="54" xr:uid="{00000000-0005-0000-0000-00003D000000}"/>
    <cellStyle name="Percent 2" xfId="55" xr:uid="{00000000-0005-0000-0000-00003E000000}"/>
  </cellStyles>
  <dxfs count="1910"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b/>
        <i/>
        <strike val="0"/>
        <u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r%20Efe\2018%20Approved%20Bgt%20-%20DTHA\IPSAS%20CAPEX\Personnel%20and%20Overhead%20Delta%202018\1.%20Directorate%20of%20Government%20Hou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ENTS\Users\Mr%20Efe\2018%20Approved%20Bgt%20-%20DTHA\IPSAS%20CAPEX\Personnel%20and%20Overhead%20Delta%202018\1.%20Directorate%20of%20Government%20Hou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ENTS\2020_Budget%20Sum_Rev%20Sum_Cap%20Receipt%20Sum_Rec%20Rev%20Detail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roposed%202020%20CAPEX%20-%20DTH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ENTS\Proposed%202020%20CAPEX%20-After%20Exc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ENTS\2020%20Proposed%20Exp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Summary"/>
      <sheetName val="1. Revenue"/>
      <sheetName val="2. Personnel"/>
      <sheetName val="3. Overhead"/>
      <sheetName val="4. Capital"/>
      <sheetName val="A. Summary Rev"/>
      <sheetName val="B. Summary Exp"/>
      <sheetName val="Location Codes"/>
      <sheetName val="Administrative Codes"/>
      <sheetName val="Admin Codes BOs"/>
      <sheetName val="Function Codes"/>
      <sheetName val="Revenue Codes"/>
      <sheetName val="Expenditure Codes"/>
      <sheetName val="Fund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C2" t="str">
            <v>51010000 - Central Senatorial Zone</v>
          </cell>
        </row>
        <row r="3">
          <cell r="C3" t="str">
            <v>51010100 - Ethiope East</v>
          </cell>
        </row>
        <row r="4">
          <cell r="C4" t="str">
            <v>51010200 - Ethiope West</v>
          </cell>
        </row>
        <row r="5">
          <cell r="C5" t="str">
            <v>51010300 - Okpe</v>
          </cell>
        </row>
        <row r="6">
          <cell r="C6" t="str">
            <v>51010400 - Sapele</v>
          </cell>
        </row>
        <row r="7">
          <cell r="C7" t="str">
            <v>51010500 - Udu</v>
          </cell>
        </row>
        <row r="8">
          <cell r="C8" t="str">
            <v>51010600 - Ughelli North</v>
          </cell>
        </row>
        <row r="9">
          <cell r="C9" t="str">
            <v>51010700 - Ughelli South</v>
          </cell>
        </row>
        <row r="10">
          <cell r="C10" t="str">
            <v>51010800 - Uvwie</v>
          </cell>
        </row>
        <row r="11">
          <cell r="C11" t="str">
            <v>51020000 - North Senatorial Zone</v>
          </cell>
        </row>
        <row r="12">
          <cell r="C12" t="str">
            <v>51020900 - Aniocha North</v>
          </cell>
        </row>
        <row r="13">
          <cell r="C13" t="str">
            <v>51021000 - Aniocha South</v>
          </cell>
        </row>
        <row r="14">
          <cell r="C14" t="str">
            <v>51021100 - Ika North East</v>
          </cell>
        </row>
        <row r="15">
          <cell r="C15" t="str">
            <v>51021200 - Ika South</v>
          </cell>
        </row>
        <row r="16">
          <cell r="C16" t="str">
            <v>51021300 - Ndokwa East</v>
          </cell>
        </row>
        <row r="17">
          <cell r="C17" t="str">
            <v>51021400 - Ndokwa West</v>
          </cell>
        </row>
        <row r="18">
          <cell r="C18" t="str">
            <v>51021500 - Oshimili North</v>
          </cell>
        </row>
        <row r="19">
          <cell r="C19" t="str">
            <v>51021600 - Oshimili South</v>
          </cell>
        </row>
        <row r="20">
          <cell r="C20" t="str">
            <v>51021700 - Ukwuani</v>
          </cell>
        </row>
        <row r="21">
          <cell r="C21" t="str">
            <v>51030000 - South Senatorial Zone</v>
          </cell>
        </row>
        <row r="22">
          <cell r="C22" t="str">
            <v>51031800 - Bomadi</v>
          </cell>
        </row>
        <row r="23">
          <cell r="C23" t="str">
            <v>51031900 - Burutu</v>
          </cell>
        </row>
        <row r="24">
          <cell r="C24" t="str">
            <v>51032000 - Isoko North</v>
          </cell>
        </row>
        <row r="25">
          <cell r="C25" t="str">
            <v>51032100 - Isoko South</v>
          </cell>
        </row>
        <row r="26">
          <cell r="C26" t="str">
            <v>51032200 - Patani</v>
          </cell>
        </row>
        <row r="27">
          <cell r="C27" t="str">
            <v>51032300 - Warri Central</v>
          </cell>
        </row>
        <row r="28">
          <cell r="C28" t="str">
            <v>51032400 - Warri North</v>
          </cell>
        </row>
        <row r="29">
          <cell r="C29" t="str">
            <v>51032500 - Warri South</v>
          </cell>
        </row>
        <row r="30">
          <cell r="C30" t="str">
            <v>51040000 - Others</v>
          </cell>
        </row>
        <row r="31">
          <cell r="C31" t="str">
            <v>51042600 - State Wide</v>
          </cell>
        </row>
        <row r="32">
          <cell r="C32" t="str">
            <v>51042700 - Abuja</v>
          </cell>
        </row>
        <row r="33">
          <cell r="C33" t="str">
            <v>51042800 - Lagos</v>
          </cell>
        </row>
        <row r="34">
          <cell r="C34" t="str">
            <v>51042900 - Benin</v>
          </cell>
        </row>
        <row r="35">
          <cell r="C35" t="str">
            <v>51043000 - Other States Within Nigeria</v>
          </cell>
        </row>
        <row r="36">
          <cell r="C36" t="str">
            <v>51043100 - Outside Nigeria</v>
          </cell>
        </row>
      </sheetData>
      <sheetData sheetId="8" refreshError="1"/>
      <sheetData sheetId="9" refreshError="1"/>
      <sheetData sheetId="10">
        <row r="2">
          <cell r="C2" t="str">
            <v>701 - General Public Service</v>
          </cell>
        </row>
      </sheetData>
      <sheetData sheetId="11" refreshError="1"/>
      <sheetData sheetId="12">
        <row r="2">
          <cell r="C2" t="str">
            <v>21010101 - Salary</v>
          </cell>
        </row>
        <row r="3">
          <cell r="C3" t="str">
            <v>21010102 - Overtime Payments</v>
          </cell>
        </row>
        <row r="4">
          <cell r="C4" t="str">
            <v>21010103 - Consolidated Revenue Charges</v>
          </cell>
        </row>
        <row r="5">
          <cell r="C5" t="str">
            <v>21020101 - NON REGULAR ALLOWANCES</v>
          </cell>
        </row>
        <row r="6">
          <cell r="C6" t="str">
            <v>21020201 - PENSION (10% GOVT CONTRIBUTION)</v>
          </cell>
        </row>
        <row r="7">
          <cell r="C7" t="str">
            <v>21020202 - PENSION (5% RETIREMENT BENEFIT BOND)</v>
          </cell>
        </row>
        <row r="8">
          <cell r="C8" t="str">
            <v>21020203 - PENSION (1% INSURANCE)</v>
          </cell>
        </row>
        <row r="9">
          <cell r="C9" t="str">
            <v>21020204 - NHIS Contribution</v>
          </cell>
        </row>
        <row r="10">
          <cell r="C10" t="str">
            <v>21020205 - Employee Compensation Fund</v>
          </cell>
        </row>
        <row r="11">
          <cell r="C11" t="str">
            <v>21020206 - Housing Fund Contribution</v>
          </cell>
        </row>
        <row r="12">
          <cell r="C12" t="str">
            <v>22010101 - Gratuity</v>
          </cell>
        </row>
        <row r="13">
          <cell r="C13" t="str">
            <v>22010102 - Pension</v>
          </cell>
        </row>
        <row r="14">
          <cell r="C14" t="str">
            <v>22010103 - Death Benefit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Summary"/>
      <sheetName val="1. Revenue"/>
      <sheetName val="2. Personnel"/>
      <sheetName val="3. Overhead"/>
      <sheetName val="4. Capital"/>
      <sheetName val="A. Summary Rev"/>
      <sheetName val="B. Summary Exp"/>
      <sheetName val="Location Codes"/>
      <sheetName val="Administrative Codes"/>
      <sheetName val="Admin Codes BOs"/>
      <sheetName val="Function Codes"/>
      <sheetName val="Revenue Codes"/>
      <sheetName val="Expenditure Codes"/>
      <sheetName val="Fund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C2" t="str">
            <v>51010000 - Central Senatorial Zone</v>
          </cell>
        </row>
      </sheetData>
      <sheetData sheetId="8" refreshError="1"/>
      <sheetData sheetId="9" refreshError="1"/>
      <sheetData sheetId="10">
        <row r="2">
          <cell r="C2" t="str">
            <v>701 - General Public Service</v>
          </cell>
        </row>
      </sheetData>
      <sheetData sheetId="11" refreshError="1"/>
      <sheetData sheetId="12">
        <row r="2">
          <cell r="C2" t="str">
            <v>21010101 - Salary</v>
          </cell>
        </row>
        <row r="3">
          <cell r="C3" t="str">
            <v>21010102 - Overtime Payments</v>
          </cell>
        </row>
        <row r="4">
          <cell r="C4" t="str">
            <v>21010103 - Consolidated Revenue Charges</v>
          </cell>
        </row>
        <row r="5">
          <cell r="C5" t="str">
            <v>21020101 - NON REGULAR ALLOWANCES</v>
          </cell>
        </row>
        <row r="6">
          <cell r="C6" t="str">
            <v>21020201 - PENSION (10% GOVT CONTRIBUTION)</v>
          </cell>
        </row>
        <row r="7">
          <cell r="C7" t="str">
            <v>21020202 - PENSION (5% RETIREMENT BENEFIT BOND)</v>
          </cell>
        </row>
        <row r="8">
          <cell r="C8" t="str">
            <v>21020203 - PENSION (1% INSURANCE)</v>
          </cell>
        </row>
        <row r="9">
          <cell r="C9" t="str">
            <v>21020204 - NHIS Contribution</v>
          </cell>
        </row>
        <row r="10">
          <cell r="C10" t="str">
            <v>21020205 - Employee Compensation Fund</v>
          </cell>
        </row>
        <row r="11">
          <cell r="C11" t="str">
            <v>21020206 - Housing Fund Contribution</v>
          </cell>
        </row>
        <row r="12">
          <cell r="C12" t="str">
            <v>22010101 - Gratuity</v>
          </cell>
        </row>
        <row r="13">
          <cell r="C13" t="str">
            <v>22010102 - Pension</v>
          </cell>
        </row>
        <row r="14">
          <cell r="C14" t="str">
            <v>22010103 - Death Benefit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"/>
      <sheetName val="Recurrent Revenue Sum"/>
      <sheetName val="Capital Receipts Sum"/>
      <sheetName val="Details of Rev"/>
      <sheetName val="Sheet2"/>
      <sheetName val="Statutory Emolument"/>
      <sheetName val="Sheet1"/>
    </sheetNames>
    <sheetDataSet>
      <sheetData sheetId="0" refreshError="1"/>
      <sheetData sheetId="1" refreshError="1">
        <row r="5">
          <cell r="G5">
            <v>46429109763</v>
          </cell>
        </row>
        <row r="6">
          <cell r="G6">
            <v>186512295894</v>
          </cell>
        </row>
        <row r="7">
          <cell r="G7">
            <v>22958761951</v>
          </cell>
        </row>
        <row r="8">
          <cell r="G8">
            <v>15463737460.5</v>
          </cell>
        </row>
        <row r="24">
          <cell r="G24">
            <v>71012876590.497253</v>
          </cell>
        </row>
      </sheetData>
      <sheetData sheetId="2" refreshError="1"/>
      <sheetData sheetId="3" refreshError="1">
        <row r="6">
          <cell r="J6">
            <v>46429109763</v>
          </cell>
        </row>
        <row r="7">
          <cell r="I7">
            <v>217894748193</v>
          </cell>
          <cell r="J7">
            <v>186512295894</v>
          </cell>
        </row>
        <row r="8">
          <cell r="I8">
            <v>13051179721</v>
          </cell>
          <cell r="J8">
            <v>22958761951</v>
          </cell>
        </row>
        <row r="9">
          <cell r="I9">
            <v>0</v>
          </cell>
          <cell r="J9">
            <v>15463737460.5</v>
          </cell>
        </row>
        <row r="33">
          <cell r="J33">
            <v>64368010439</v>
          </cell>
        </row>
        <row r="119">
          <cell r="J119">
            <v>848226730.64679098</v>
          </cell>
        </row>
        <row r="318">
          <cell r="J318">
            <v>1550593241.9427674</v>
          </cell>
        </row>
        <row r="333">
          <cell r="J333">
            <v>117525814.55120634</v>
          </cell>
        </row>
        <row r="364">
          <cell r="J364">
            <v>31612027.31249357</v>
          </cell>
        </row>
        <row r="414">
          <cell r="J414">
            <v>605807964.1790055</v>
          </cell>
        </row>
        <row r="437">
          <cell r="J437">
            <v>9771908.0986321829</v>
          </cell>
        </row>
        <row r="458">
          <cell r="J458">
            <v>67274616.64552176</v>
          </cell>
        </row>
        <row r="473">
          <cell r="J473">
            <v>794584522.66974986</v>
          </cell>
        </row>
        <row r="477">
          <cell r="J477">
            <v>9475790.5787415244</v>
          </cell>
        </row>
        <row r="482">
          <cell r="J482">
            <v>0</v>
          </cell>
        </row>
        <row r="517">
          <cell r="J517">
            <v>33432994.637908775</v>
          </cell>
        </row>
        <row r="536">
          <cell r="J536">
            <v>2576560540.2344403</v>
          </cell>
        </row>
        <row r="542">
          <cell r="I542">
            <v>147260261737</v>
          </cell>
        </row>
        <row r="562">
          <cell r="I562">
            <v>86022380188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LIMIT"/>
      <sheetName val="ISSUES "/>
      <sheetName val="CAPEX"/>
      <sheetName val="Summary"/>
      <sheetName val="Summary (2)"/>
      <sheetName val="Summary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C5">
            <v>12433527399.78824</v>
          </cell>
        </row>
        <row r="7">
          <cell r="C7">
            <v>113215700294.59102</v>
          </cell>
        </row>
        <row r="9">
          <cell r="C9">
            <v>1901703128</v>
          </cell>
        </row>
        <row r="11">
          <cell r="C11">
            <v>43714320016.07</v>
          </cell>
        </row>
        <row r="13">
          <cell r="C13">
            <v>49055658515.562759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LIMIT"/>
      <sheetName val="ISSUES "/>
      <sheetName val="CAPEX"/>
      <sheetName val="Summary"/>
      <sheetName val="Summary (2)"/>
    </sheetNames>
    <sheetDataSet>
      <sheetData sheetId="0"/>
      <sheetData sheetId="1"/>
      <sheetData sheetId="2"/>
      <sheetData sheetId="3">
        <row r="30">
          <cell r="B30">
            <v>12374527399.788239</v>
          </cell>
        </row>
        <row r="40">
          <cell r="B40">
            <v>3000000000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Exp Sum"/>
      <sheetName val="Personnel"/>
      <sheetName val="Overhead"/>
      <sheetName val="SUBVEN (REG)"/>
    </sheetNames>
    <sheetDataSet>
      <sheetData sheetId="0" refreshError="1"/>
      <sheetData sheetId="1" refreshError="1">
        <row r="4">
          <cell r="J4">
            <v>1088344179</v>
          </cell>
        </row>
        <row r="6">
          <cell r="J6">
            <v>3342000000</v>
          </cell>
        </row>
        <row r="8">
          <cell r="J8">
            <v>6010312161</v>
          </cell>
        </row>
        <row r="10">
          <cell r="J10">
            <v>302233531</v>
          </cell>
        </row>
        <row r="12">
          <cell r="J12">
            <v>274164029</v>
          </cell>
        </row>
        <row r="14">
          <cell r="J14">
            <v>148499747</v>
          </cell>
        </row>
        <row r="16">
          <cell r="J16">
            <v>71031995</v>
          </cell>
        </row>
        <row r="18">
          <cell r="J18">
            <v>160911378</v>
          </cell>
        </row>
        <row r="20">
          <cell r="J20">
            <v>492956334</v>
          </cell>
        </row>
        <row r="22">
          <cell r="J22">
            <v>488946225</v>
          </cell>
        </row>
        <row r="24">
          <cell r="J24">
            <v>198194926</v>
          </cell>
        </row>
        <row r="27">
          <cell r="J27">
            <v>284810696</v>
          </cell>
        </row>
        <row r="29">
          <cell r="J29">
            <v>200062770</v>
          </cell>
        </row>
        <row r="31">
          <cell r="J31">
            <v>148538377</v>
          </cell>
        </row>
        <row r="33">
          <cell r="J33">
            <v>209174901</v>
          </cell>
        </row>
        <row r="35">
          <cell r="J35">
            <v>43102369</v>
          </cell>
        </row>
        <row r="37">
          <cell r="J37">
            <v>72579608</v>
          </cell>
        </row>
        <row r="39">
          <cell r="J39">
            <v>102532086</v>
          </cell>
        </row>
        <row r="41">
          <cell r="J41">
            <v>2680284</v>
          </cell>
        </row>
        <row r="45">
          <cell r="J45">
            <v>380977948</v>
          </cell>
        </row>
        <row r="47">
          <cell r="J47">
            <v>264926565.82000002</v>
          </cell>
        </row>
        <row r="50">
          <cell r="J50">
            <v>74196167</v>
          </cell>
        </row>
        <row r="52">
          <cell r="J52">
            <v>141267979</v>
          </cell>
        </row>
        <row r="54">
          <cell r="J54">
            <v>1293989369</v>
          </cell>
        </row>
        <row r="56">
          <cell r="J56">
            <v>162295355</v>
          </cell>
        </row>
        <row r="58">
          <cell r="J58">
            <v>6344819</v>
          </cell>
        </row>
        <row r="60">
          <cell r="J60">
            <v>367462371</v>
          </cell>
        </row>
        <row r="62">
          <cell r="J62">
            <v>263407005.62</v>
          </cell>
        </row>
        <row r="64">
          <cell r="J64">
            <v>93742580</v>
          </cell>
        </row>
        <row r="66">
          <cell r="J66">
            <v>304173347</v>
          </cell>
        </row>
        <row r="68">
          <cell r="J68">
            <v>420793603</v>
          </cell>
        </row>
        <row r="71">
          <cell r="J71">
            <v>117597555</v>
          </cell>
        </row>
        <row r="73">
          <cell r="J73">
            <v>108671541</v>
          </cell>
        </row>
        <row r="75">
          <cell r="J75">
            <v>59366027</v>
          </cell>
        </row>
        <row r="77">
          <cell r="J77">
            <v>136204517</v>
          </cell>
        </row>
        <row r="79">
          <cell r="J79">
            <v>1289055304</v>
          </cell>
        </row>
        <row r="81">
          <cell r="J81">
            <v>346184154</v>
          </cell>
        </row>
        <row r="83">
          <cell r="J83">
            <v>372323818</v>
          </cell>
        </row>
        <row r="85">
          <cell r="J85">
            <v>343034766</v>
          </cell>
        </row>
        <row r="87">
          <cell r="J87">
            <v>243825673</v>
          </cell>
        </row>
        <row r="89">
          <cell r="J89">
            <v>300584173.93276894</v>
          </cell>
        </row>
        <row r="92">
          <cell r="J92">
            <v>540483037</v>
          </cell>
        </row>
        <row r="94">
          <cell r="J94">
            <v>175644324</v>
          </cell>
        </row>
        <row r="96">
          <cell r="J96">
            <v>106391117</v>
          </cell>
        </row>
        <row r="100">
          <cell r="J100">
            <v>609635011</v>
          </cell>
        </row>
        <row r="102">
          <cell r="J102">
            <v>3001226745</v>
          </cell>
        </row>
        <row r="104">
          <cell r="J104">
            <v>42527217</v>
          </cell>
        </row>
        <row r="106">
          <cell r="J106">
            <v>1615918395</v>
          </cell>
        </row>
        <row r="108">
          <cell r="J108">
            <v>87319882</v>
          </cell>
        </row>
        <row r="113">
          <cell r="J113">
            <v>150287106</v>
          </cell>
        </row>
        <row r="115">
          <cell r="J115">
            <v>139181424</v>
          </cell>
        </row>
        <row r="117">
          <cell r="J117">
            <v>117489859</v>
          </cell>
        </row>
        <row r="119">
          <cell r="J119">
            <v>280807172</v>
          </cell>
        </row>
        <row r="121">
          <cell r="J121">
            <v>116792507</v>
          </cell>
        </row>
        <row r="123">
          <cell r="J123">
            <v>13440759</v>
          </cell>
        </row>
        <row r="125">
          <cell r="J125">
            <v>1078321274</v>
          </cell>
        </row>
        <row r="127">
          <cell r="J127">
            <v>946068409</v>
          </cell>
        </row>
        <row r="129">
          <cell r="J129">
            <v>424363764.71170104</v>
          </cell>
        </row>
        <row r="132">
          <cell r="J132">
            <v>24184527197.656742</v>
          </cell>
        </row>
        <row r="134">
          <cell r="J134">
            <v>429845207.89132887</v>
          </cell>
        </row>
        <row r="136">
          <cell r="J136">
            <v>193015819.43172544</v>
          </cell>
        </row>
        <row r="138">
          <cell r="J138">
            <v>5793537359</v>
          </cell>
        </row>
        <row r="140">
          <cell r="J140">
            <v>1159641588</v>
          </cell>
        </row>
        <row r="142">
          <cell r="J142">
            <v>1376693764</v>
          </cell>
        </row>
        <row r="144">
          <cell r="J144">
            <v>1242678515</v>
          </cell>
        </row>
        <row r="146">
          <cell r="J146">
            <v>1960904556</v>
          </cell>
        </row>
        <row r="148">
          <cell r="J148">
            <v>2420381326</v>
          </cell>
        </row>
        <row r="150">
          <cell r="J150">
            <v>824752115</v>
          </cell>
        </row>
        <row r="153">
          <cell r="J153">
            <v>26366051</v>
          </cell>
        </row>
        <row r="155">
          <cell r="J155">
            <v>181436401</v>
          </cell>
        </row>
        <row r="157">
          <cell r="J157">
            <v>1143295226.5665977</v>
          </cell>
        </row>
        <row r="159">
          <cell r="J159">
            <v>9216668884</v>
          </cell>
        </row>
        <row r="161">
          <cell r="J161">
            <v>180000000</v>
          </cell>
        </row>
        <row r="163">
          <cell r="J163">
            <v>3183601036</v>
          </cell>
        </row>
        <row r="165">
          <cell r="J165">
            <v>264662471</v>
          </cell>
        </row>
        <row r="168">
          <cell r="I168">
            <v>65736621939.000008</v>
          </cell>
          <cell r="J168">
            <v>83959405755</v>
          </cell>
        </row>
        <row r="181">
          <cell r="I181">
            <v>428734771.15999997</v>
          </cell>
          <cell r="J181">
            <v>467230931.99999994</v>
          </cell>
        </row>
        <row r="185">
          <cell r="I185">
            <v>7800000000</v>
          </cell>
          <cell r="J185">
            <v>7800000000</v>
          </cell>
        </row>
        <row r="189">
          <cell r="I189">
            <v>5008000000</v>
          </cell>
          <cell r="J189">
            <v>5008000000</v>
          </cell>
        </row>
        <row r="192">
          <cell r="I192">
            <v>0</v>
          </cell>
        </row>
        <row r="193">
          <cell r="I193">
            <v>16658755475</v>
          </cell>
          <cell r="J193">
            <v>6667696258.5599995</v>
          </cell>
        </row>
        <row r="194">
          <cell r="I194">
            <v>300000000</v>
          </cell>
          <cell r="J194">
            <v>300000000</v>
          </cell>
        </row>
        <row r="196">
          <cell r="I196">
            <v>4000000000</v>
          </cell>
          <cell r="J196">
            <v>4000000000</v>
          </cell>
        </row>
        <row r="197">
          <cell r="I197">
            <v>120000000</v>
          </cell>
          <cell r="J197">
            <v>126000000</v>
          </cell>
        </row>
        <row r="198">
          <cell r="I198">
            <v>3000000000</v>
          </cell>
          <cell r="J198">
            <v>3000000000</v>
          </cell>
        </row>
      </sheetData>
      <sheetData sheetId="2" refreshError="1">
        <row r="23">
          <cell r="J23">
            <v>10767737334</v>
          </cell>
        </row>
        <row r="24">
          <cell r="J24">
            <v>234076900</v>
          </cell>
        </row>
        <row r="26">
          <cell r="J26">
            <v>50000000</v>
          </cell>
        </row>
        <row r="27">
          <cell r="J27">
            <v>30000000</v>
          </cell>
        </row>
        <row r="28">
          <cell r="J28">
            <v>6000000</v>
          </cell>
        </row>
        <row r="32">
          <cell r="J32">
            <v>17000000</v>
          </cell>
        </row>
        <row r="33">
          <cell r="J33">
            <v>6000000</v>
          </cell>
        </row>
        <row r="35">
          <cell r="J35">
            <v>15000000</v>
          </cell>
        </row>
        <row r="36">
          <cell r="J36">
            <v>15000000</v>
          </cell>
        </row>
        <row r="37">
          <cell r="J37">
            <v>15000000</v>
          </cell>
        </row>
        <row r="48">
          <cell r="J48">
            <v>18000000</v>
          </cell>
        </row>
        <row r="49">
          <cell r="J49">
            <v>172800000</v>
          </cell>
        </row>
        <row r="50">
          <cell r="J50">
            <v>10000000</v>
          </cell>
        </row>
        <row r="51">
          <cell r="J51">
            <v>36000000</v>
          </cell>
        </row>
        <row r="52">
          <cell r="J52">
            <v>18000000</v>
          </cell>
        </row>
        <row r="53">
          <cell r="J53">
            <v>20000000</v>
          </cell>
        </row>
        <row r="54">
          <cell r="J54">
            <v>33500000</v>
          </cell>
        </row>
        <row r="55">
          <cell r="J55">
            <v>80000000</v>
          </cell>
        </row>
        <row r="56">
          <cell r="J56">
            <v>45000000</v>
          </cell>
        </row>
        <row r="60">
          <cell r="J60">
            <v>80000000</v>
          </cell>
        </row>
        <row r="61">
          <cell r="J61">
            <v>5000000</v>
          </cell>
        </row>
        <row r="62">
          <cell r="J62">
            <v>15000000</v>
          </cell>
        </row>
        <row r="63">
          <cell r="J63">
            <v>15000000</v>
          </cell>
        </row>
        <row r="64">
          <cell r="J64">
            <v>30000000</v>
          </cell>
        </row>
        <row r="65">
          <cell r="J65">
            <v>10000000</v>
          </cell>
        </row>
        <row r="66">
          <cell r="J66">
            <v>10000000</v>
          </cell>
        </row>
        <row r="67">
          <cell r="J67">
            <v>10000000</v>
          </cell>
        </row>
        <row r="68">
          <cell r="J68">
            <v>10000000</v>
          </cell>
        </row>
        <row r="69">
          <cell r="J69">
            <v>10000000</v>
          </cell>
        </row>
        <row r="70">
          <cell r="J70">
            <v>40000000</v>
          </cell>
        </row>
        <row r="71">
          <cell r="J71">
            <v>20000000</v>
          </cell>
        </row>
        <row r="110">
          <cell r="J110">
            <v>494000000</v>
          </cell>
        </row>
        <row r="116">
          <cell r="J116">
            <v>505200000</v>
          </cell>
        </row>
        <row r="119">
          <cell r="J119">
            <v>20000000</v>
          </cell>
        </row>
        <row r="120">
          <cell r="J120">
            <v>9000000</v>
          </cell>
        </row>
        <row r="122">
          <cell r="J122">
            <v>10000000</v>
          </cell>
        </row>
        <row r="123">
          <cell r="J123">
            <v>4500000</v>
          </cell>
        </row>
        <row r="125">
          <cell r="J125">
            <v>10000000</v>
          </cell>
        </row>
        <row r="126">
          <cell r="J126">
            <v>6000000</v>
          </cell>
        </row>
        <row r="128">
          <cell r="J128">
            <v>4800000</v>
          </cell>
        </row>
        <row r="204">
          <cell r="J204">
            <v>4038000000</v>
          </cell>
        </row>
        <row r="205">
          <cell r="J205">
            <v>1800000000</v>
          </cell>
        </row>
        <row r="216">
          <cell r="J216">
            <v>1621520000</v>
          </cell>
        </row>
        <row r="217">
          <cell r="J217">
            <v>24300000</v>
          </cell>
        </row>
        <row r="220">
          <cell r="J220">
            <v>18000000</v>
          </cell>
        </row>
        <row r="221">
          <cell r="J221">
            <v>7200000</v>
          </cell>
        </row>
        <row r="223">
          <cell r="J223">
            <v>21000000</v>
          </cell>
        </row>
        <row r="224">
          <cell r="J224">
            <v>22500000</v>
          </cell>
        </row>
        <row r="226">
          <cell r="J226">
            <v>50249940</v>
          </cell>
        </row>
        <row r="227">
          <cell r="J227">
            <v>50000000</v>
          </cell>
        </row>
        <row r="228">
          <cell r="J228">
            <v>150000000</v>
          </cell>
        </row>
        <row r="229">
          <cell r="J229">
            <v>18000000</v>
          </cell>
        </row>
        <row r="231">
          <cell r="J231">
            <v>18749976</v>
          </cell>
        </row>
        <row r="232">
          <cell r="J232">
            <v>3375000</v>
          </cell>
        </row>
        <row r="233">
          <cell r="J233">
            <v>10000000</v>
          </cell>
        </row>
        <row r="234">
          <cell r="J234">
            <v>1800000</v>
          </cell>
        </row>
        <row r="236">
          <cell r="J236">
            <v>113400000</v>
          </cell>
        </row>
        <row r="237">
          <cell r="J237">
            <v>3150000</v>
          </cell>
        </row>
        <row r="247">
          <cell r="J247">
            <v>150000000</v>
          </cell>
        </row>
        <row r="269">
          <cell r="J269">
            <v>74000000</v>
          </cell>
        </row>
        <row r="288">
          <cell r="J288">
            <v>572664196</v>
          </cell>
        </row>
        <row r="306">
          <cell r="J306">
            <v>20520000</v>
          </cell>
        </row>
        <row r="313">
          <cell r="J313">
            <v>21500000</v>
          </cell>
        </row>
        <row r="317">
          <cell r="J317">
            <v>62200000</v>
          </cell>
        </row>
        <row r="332">
          <cell r="J332">
            <v>31980000</v>
          </cell>
        </row>
        <row r="333">
          <cell r="J333">
            <v>3600000</v>
          </cell>
        </row>
        <row r="348">
          <cell r="J348">
            <v>236850000</v>
          </cell>
        </row>
        <row r="349">
          <cell r="J349">
            <v>4800000</v>
          </cell>
        </row>
        <row r="360">
          <cell r="J360">
            <v>491800000</v>
          </cell>
        </row>
        <row r="361">
          <cell r="J361">
            <v>13800000</v>
          </cell>
        </row>
        <row r="364">
          <cell r="J364">
            <v>3000000</v>
          </cell>
        </row>
        <row r="366">
          <cell r="J366">
            <v>3000000</v>
          </cell>
        </row>
        <row r="368">
          <cell r="J368">
            <v>6000000</v>
          </cell>
        </row>
        <row r="377">
          <cell r="J377">
            <v>104000000</v>
          </cell>
        </row>
        <row r="378">
          <cell r="J378">
            <v>12000000</v>
          </cell>
        </row>
        <row r="382">
          <cell r="J382">
            <v>2700000</v>
          </cell>
        </row>
        <row r="383">
          <cell r="J383">
            <v>200000000</v>
          </cell>
        </row>
        <row r="386">
          <cell r="J386">
            <v>25200000</v>
          </cell>
        </row>
        <row r="387">
          <cell r="J387">
            <v>10000000</v>
          </cell>
        </row>
        <row r="390">
          <cell r="J390">
            <v>1350000</v>
          </cell>
        </row>
        <row r="392">
          <cell r="J392">
            <v>1350000</v>
          </cell>
        </row>
        <row r="395">
          <cell r="J395">
            <v>27000000</v>
          </cell>
        </row>
        <row r="397">
          <cell r="I397">
            <v>12000000</v>
          </cell>
        </row>
        <row r="446">
          <cell r="J446">
            <v>194000000</v>
          </cell>
        </row>
        <row r="457">
          <cell r="J457">
            <v>62500000</v>
          </cell>
        </row>
        <row r="458">
          <cell r="J458">
            <v>9000000</v>
          </cell>
        </row>
        <row r="472">
          <cell r="J472">
            <v>84900000</v>
          </cell>
        </row>
        <row r="475">
          <cell r="J475">
            <v>16500000</v>
          </cell>
        </row>
        <row r="479">
          <cell r="J479">
            <v>22000000</v>
          </cell>
        </row>
        <row r="480">
          <cell r="J480">
            <v>6900000</v>
          </cell>
        </row>
        <row r="492">
          <cell r="J492">
            <v>96000000</v>
          </cell>
        </row>
        <row r="493">
          <cell r="J493">
            <v>11880000</v>
          </cell>
        </row>
        <row r="503">
          <cell r="J503">
            <v>74500000</v>
          </cell>
        </row>
        <row r="504">
          <cell r="J504">
            <v>21900000</v>
          </cell>
        </row>
        <row r="508">
          <cell r="J508">
            <v>6000000</v>
          </cell>
        </row>
        <row r="510">
          <cell r="J510">
            <v>36000000</v>
          </cell>
        </row>
        <row r="518">
          <cell r="J518">
            <v>515687500</v>
          </cell>
        </row>
        <row r="521">
          <cell r="J521">
            <v>39700000</v>
          </cell>
        </row>
        <row r="524">
          <cell r="J524">
            <v>20000000</v>
          </cell>
        </row>
        <row r="525">
          <cell r="J525">
            <v>900000</v>
          </cell>
        </row>
        <row r="528">
          <cell r="J528">
            <v>2000000</v>
          </cell>
        </row>
        <row r="529">
          <cell r="J529">
            <v>2700000</v>
          </cell>
        </row>
        <row r="538">
          <cell r="J538">
            <v>37000000</v>
          </cell>
        </row>
        <row r="539">
          <cell r="J539">
            <v>13800000</v>
          </cell>
        </row>
        <row r="542">
          <cell r="J542">
            <v>6000000</v>
          </cell>
        </row>
        <row r="554">
          <cell r="J554">
            <v>27975000</v>
          </cell>
        </row>
        <row r="566">
          <cell r="J566">
            <v>9000000</v>
          </cell>
        </row>
        <row r="567">
          <cell r="J567">
            <v>13800000</v>
          </cell>
        </row>
        <row r="570">
          <cell r="J570">
            <v>3600000</v>
          </cell>
        </row>
        <row r="572">
          <cell r="J572">
            <v>1200000</v>
          </cell>
        </row>
        <row r="574">
          <cell r="J574">
            <v>1200000</v>
          </cell>
        </row>
        <row r="576">
          <cell r="J576">
            <v>4800000</v>
          </cell>
        </row>
        <row r="578">
          <cell r="J578">
            <v>3000000</v>
          </cell>
        </row>
        <row r="579">
          <cell r="J579">
            <v>600000</v>
          </cell>
        </row>
        <row r="588">
          <cell r="J588">
            <v>24750000</v>
          </cell>
        </row>
        <row r="589">
          <cell r="J589">
            <v>13500000</v>
          </cell>
        </row>
        <row r="592">
          <cell r="J592">
            <v>25000000</v>
          </cell>
        </row>
        <row r="593">
          <cell r="J593">
            <v>8100000</v>
          </cell>
        </row>
        <row r="602">
          <cell r="J602">
            <v>903250000</v>
          </cell>
        </row>
        <row r="603">
          <cell r="J603">
            <v>16800000</v>
          </cell>
        </row>
        <row r="607">
          <cell r="J607">
            <v>26100000</v>
          </cell>
        </row>
        <row r="608">
          <cell r="J608">
            <v>3600000</v>
          </cell>
        </row>
        <row r="614">
          <cell r="J614">
            <v>4850000</v>
          </cell>
        </row>
        <row r="615">
          <cell r="J615">
            <v>14334000</v>
          </cell>
        </row>
        <row r="618">
          <cell r="J618">
            <v>1000000</v>
          </cell>
        </row>
        <row r="621">
          <cell r="J621">
            <v>40800000</v>
          </cell>
        </row>
        <row r="627">
          <cell r="J627">
            <v>11549940</v>
          </cell>
        </row>
        <row r="628">
          <cell r="J628">
            <v>3000000</v>
          </cell>
        </row>
        <row r="635">
          <cell r="J635">
            <v>18000000</v>
          </cell>
        </row>
        <row r="636">
          <cell r="J636">
            <v>12120000</v>
          </cell>
        </row>
        <row r="645">
          <cell r="J645">
            <v>87000000</v>
          </cell>
        </row>
        <row r="646">
          <cell r="J646">
            <v>15600000</v>
          </cell>
        </row>
        <row r="666">
          <cell r="J666">
            <v>10044069471</v>
          </cell>
        </row>
        <row r="667">
          <cell r="J667">
            <v>19800000</v>
          </cell>
        </row>
        <row r="670">
          <cell r="J670">
            <v>2400000</v>
          </cell>
        </row>
        <row r="672">
          <cell r="J672">
            <v>3000000000</v>
          </cell>
        </row>
        <row r="709">
          <cell r="J709">
            <v>859270000</v>
          </cell>
        </row>
        <row r="714">
          <cell r="J714">
            <v>29400000</v>
          </cell>
        </row>
        <row r="736">
          <cell r="J736">
            <v>9356550000</v>
          </cell>
        </row>
        <row r="742">
          <cell r="J742">
            <v>42630000</v>
          </cell>
        </row>
        <row r="748">
          <cell r="J748">
            <v>11000000</v>
          </cell>
        </row>
        <row r="751">
          <cell r="J751">
            <v>20400000</v>
          </cell>
        </row>
        <row r="759">
          <cell r="J759">
            <v>45037136</v>
          </cell>
        </row>
        <row r="762">
          <cell r="J762">
            <v>16275000</v>
          </cell>
        </row>
        <row r="771">
          <cell r="J771">
            <v>11750000</v>
          </cell>
        </row>
        <row r="772">
          <cell r="J772">
            <v>12600000</v>
          </cell>
        </row>
        <row r="775">
          <cell r="J775">
            <v>10000000</v>
          </cell>
        </row>
        <row r="776">
          <cell r="J776">
            <v>14400000</v>
          </cell>
        </row>
        <row r="779">
          <cell r="J779">
            <v>38000000</v>
          </cell>
        </row>
        <row r="781">
          <cell r="J781">
            <v>5400000</v>
          </cell>
        </row>
        <row r="800">
          <cell r="J800">
            <v>20000000</v>
          </cell>
        </row>
        <row r="825">
          <cell r="J825">
            <v>1492340000</v>
          </cell>
        </row>
        <row r="826">
          <cell r="J826">
            <v>7200000</v>
          </cell>
        </row>
        <row r="840">
          <cell r="J840">
            <v>360925000</v>
          </cell>
        </row>
        <row r="843">
          <cell r="J843">
            <v>144000000</v>
          </cell>
        </row>
        <row r="852">
          <cell r="J852">
            <v>57500000</v>
          </cell>
        </row>
        <row r="853">
          <cell r="J853">
            <v>60000000</v>
          </cell>
        </row>
        <row r="865">
          <cell r="J865">
            <v>35000000</v>
          </cell>
        </row>
        <row r="866">
          <cell r="J866">
            <v>9000000</v>
          </cell>
        </row>
        <row r="871">
          <cell r="J871">
            <v>10000000</v>
          </cell>
        </row>
        <row r="873">
          <cell r="J873">
            <v>80000000</v>
          </cell>
        </row>
        <row r="874">
          <cell r="J874">
            <v>45000000</v>
          </cell>
        </row>
        <row r="877">
          <cell r="J877">
            <v>125000000</v>
          </cell>
        </row>
        <row r="893">
          <cell r="J893">
            <v>87500000</v>
          </cell>
        </row>
        <row r="894">
          <cell r="J894">
            <v>16000000</v>
          </cell>
        </row>
        <row r="900">
          <cell r="J900">
            <v>122840000</v>
          </cell>
        </row>
        <row r="904">
          <cell r="J904">
            <v>7800000</v>
          </cell>
        </row>
        <row r="912">
          <cell r="J912">
            <v>7835000</v>
          </cell>
        </row>
        <row r="913">
          <cell r="J913">
            <v>11400000</v>
          </cell>
        </row>
        <row r="920">
          <cell r="J920">
            <v>46000000</v>
          </cell>
        </row>
        <row r="923">
          <cell r="J923">
            <v>28200000</v>
          </cell>
        </row>
        <row r="926">
          <cell r="J926">
            <v>3000000</v>
          </cell>
        </row>
        <row r="928">
          <cell r="J928">
            <v>150000000</v>
          </cell>
        </row>
        <row r="929">
          <cell r="J929">
            <v>8400000</v>
          </cell>
        </row>
        <row r="952">
          <cell r="J952">
            <v>854000000</v>
          </cell>
        </row>
        <row r="953">
          <cell r="J953">
            <v>9000000</v>
          </cell>
        </row>
        <row r="990">
          <cell r="J990">
            <v>4217149976</v>
          </cell>
        </row>
        <row r="995">
          <cell r="J995">
            <v>198750000</v>
          </cell>
        </row>
        <row r="998">
          <cell r="J998">
            <v>6000000</v>
          </cell>
        </row>
        <row r="999">
          <cell r="J999">
            <v>6300000</v>
          </cell>
        </row>
        <row r="1002">
          <cell r="J1002">
            <v>100000000</v>
          </cell>
        </row>
        <row r="1003">
          <cell r="J1003">
            <v>33000000</v>
          </cell>
        </row>
        <row r="1006">
          <cell r="J1006">
            <v>50000000</v>
          </cell>
        </row>
        <row r="1007">
          <cell r="J1007">
            <v>30000000</v>
          </cell>
        </row>
        <row r="1010">
          <cell r="J1010">
            <v>40000000</v>
          </cell>
        </row>
        <row r="1011">
          <cell r="J1011">
            <v>26400000</v>
          </cell>
        </row>
        <row r="1015">
          <cell r="J1015">
            <v>10200000</v>
          </cell>
        </row>
        <row r="1017">
          <cell r="J1017">
            <v>2200000</v>
          </cell>
        </row>
        <row r="1018">
          <cell r="J1018">
            <v>1200000</v>
          </cell>
        </row>
        <row r="1021">
          <cell r="J1021">
            <v>700000</v>
          </cell>
        </row>
        <row r="1022">
          <cell r="J1022">
            <v>9600000</v>
          </cell>
        </row>
        <row r="1027">
          <cell r="J1027">
            <v>6000000</v>
          </cell>
        </row>
        <row r="1028">
          <cell r="J1028">
            <v>16200000</v>
          </cell>
        </row>
        <row r="1034">
          <cell r="J1034">
            <v>167000000</v>
          </cell>
        </row>
        <row r="1035">
          <cell r="J1035">
            <v>24000000</v>
          </cell>
        </row>
        <row r="1040">
          <cell r="J1040">
            <v>25000000</v>
          </cell>
        </row>
        <row r="1041">
          <cell r="J1041">
            <v>12000000</v>
          </cell>
        </row>
        <row r="1047">
          <cell r="J1047">
            <v>25000000</v>
          </cell>
        </row>
        <row r="1048">
          <cell r="J1048">
            <v>12000000</v>
          </cell>
        </row>
        <row r="1053">
          <cell r="J1053">
            <v>25000000</v>
          </cell>
        </row>
        <row r="1054">
          <cell r="J1054">
            <v>12000000</v>
          </cell>
        </row>
        <row r="1059">
          <cell r="J1059">
            <v>25000000</v>
          </cell>
        </row>
        <row r="1060">
          <cell r="J1060">
            <v>12000000</v>
          </cell>
        </row>
        <row r="1065">
          <cell r="J1065">
            <v>25000000</v>
          </cell>
        </row>
        <row r="1066">
          <cell r="J1066">
            <v>12000000</v>
          </cell>
        </row>
        <row r="1072">
          <cell r="J1072">
            <v>25000000</v>
          </cell>
        </row>
        <row r="1073">
          <cell r="J1073">
            <v>12000000</v>
          </cell>
        </row>
        <row r="1082">
          <cell r="J1082">
            <v>1057600000</v>
          </cell>
        </row>
        <row r="1085">
          <cell r="J1085">
            <v>9000000</v>
          </cell>
        </row>
        <row r="1088">
          <cell r="J1088">
            <v>5400000</v>
          </cell>
        </row>
        <row r="1097">
          <cell r="J1097">
            <v>427000000</v>
          </cell>
        </row>
        <row r="1098">
          <cell r="J1098">
            <v>16800000</v>
          </cell>
        </row>
        <row r="1101">
          <cell r="J1101">
            <v>75000000</v>
          </cell>
        </row>
        <row r="1102">
          <cell r="J1102">
            <v>32400000</v>
          </cell>
        </row>
        <row r="1105">
          <cell r="J1105">
            <v>8600000</v>
          </cell>
        </row>
        <row r="1107">
          <cell r="J1107">
            <v>1200000</v>
          </cell>
        </row>
        <row r="1109">
          <cell r="J1109">
            <v>1200000</v>
          </cell>
        </row>
        <row r="1111">
          <cell r="J1111">
            <v>1200000</v>
          </cell>
        </row>
        <row r="1115">
          <cell r="J1115">
            <v>1080000</v>
          </cell>
        </row>
        <row r="1117">
          <cell r="J1117">
            <v>18400000</v>
          </cell>
        </row>
        <row r="1129">
          <cell r="J1129">
            <v>108000000</v>
          </cell>
        </row>
        <row r="1130">
          <cell r="J1130">
            <v>18000000</v>
          </cell>
        </row>
        <row r="1133">
          <cell r="J1133">
            <v>10000000</v>
          </cell>
        </row>
        <row r="1168">
          <cell r="J1168">
            <v>234100000</v>
          </cell>
        </row>
        <row r="1169">
          <cell r="J1169">
            <v>13800000</v>
          </cell>
        </row>
        <row r="1172">
          <cell r="J1172">
            <v>100000000</v>
          </cell>
        </row>
        <row r="1173">
          <cell r="J1173">
            <v>33000000</v>
          </cell>
        </row>
        <row r="1176">
          <cell r="I1176">
            <v>54043917067.839996</v>
          </cell>
          <cell r="J1176">
            <v>60221051369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4"/>
  <sheetViews>
    <sheetView view="pageBreakPreview" topLeftCell="A29" zoomScale="52" zoomScaleSheetLayoutView="52" workbookViewId="0">
      <selection activeCell="G17" sqref="G17"/>
    </sheetView>
  </sheetViews>
  <sheetFormatPr defaultRowHeight="27" x14ac:dyDescent="0.35"/>
  <cols>
    <col min="1" max="1" width="70.28515625" style="148" customWidth="1"/>
    <col min="2" max="2" width="37.140625" style="141" customWidth="1"/>
    <col min="3" max="3" width="14" style="141" customWidth="1"/>
    <col min="4" max="4" width="36.42578125" style="141" customWidth="1"/>
    <col min="5" max="5" width="34.42578125" style="141" customWidth="1"/>
    <col min="6" max="6" width="17.28515625" style="149" customWidth="1"/>
    <col min="7" max="7" width="38" style="141" customWidth="1"/>
    <col min="8" max="8" width="18.42578125" style="141" customWidth="1"/>
    <col min="9" max="9" width="40" style="151" customWidth="1"/>
    <col min="10" max="10" width="34.28515625" style="2" customWidth="1"/>
    <col min="11" max="11" width="33.7109375" style="3" customWidth="1"/>
    <col min="12" max="12" width="6.7109375" style="4" customWidth="1"/>
    <col min="13" max="13" width="32.85546875" style="4" customWidth="1"/>
    <col min="14" max="14" width="26.5703125" style="4" customWidth="1"/>
    <col min="15" max="24" width="9.140625" style="4"/>
    <col min="25" max="16384" width="9.140625" style="5"/>
  </cols>
  <sheetData>
    <row r="1" spans="1:24" ht="49.5" customHeight="1" x14ac:dyDescent="0.4">
      <c r="A1" s="963" t="s">
        <v>0</v>
      </c>
      <c r="B1" s="963"/>
      <c r="C1" s="963"/>
      <c r="D1" s="963"/>
      <c r="E1" s="963"/>
      <c r="F1" s="963"/>
      <c r="G1" s="963"/>
      <c r="H1" s="963"/>
      <c r="I1" s="1"/>
    </row>
    <row r="2" spans="1:24" ht="39.75" customHeight="1" x14ac:dyDescent="0.4">
      <c r="A2" s="963" t="s">
        <v>2075</v>
      </c>
      <c r="B2" s="963"/>
      <c r="C2" s="963"/>
      <c r="D2" s="963"/>
      <c r="E2" s="963"/>
      <c r="F2" s="963"/>
      <c r="G2" s="963"/>
      <c r="H2" s="963"/>
      <c r="I2" s="1"/>
    </row>
    <row r="3" spans="1:24" ht="33.75" customHeight="1" x14ac:dyDescent="0.4">
      <c r="A3" s="6"/>
      <c r="B3" s="7" t="s">
        <v>1</v>
      </c>
      <c r="C3" s="7"/>
      <c r="D3" s="8"/>
      <c r="E3" s="6"/>
      <c r="F3" s="9"/>
      <c r="G3" s="6"/>
      <c r="H3" s="6"/>
      <c r="I3" s="1"/>
    </row>
    <row r="4" spans="1:24" ht="106.5" hidden="1" customHeight="1" x14ac:dyDescent="0.4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0"/>
      <c r="J4" s="11"/>
      <c r="K4" s="12"/>
    </row>
    <row r="5" spans="1:24" ht="50.1" hidden="1" customHeight="1" x14ac:dyDescent="0.4">
      <c r="A5" s="13" t="s">
        <v>10</v>
      </c>
      <c r="B5" s="14"/>
      <c r="C5" s="14"/>
      <c r="D5" s="15"/>
      <c r="E5" s="14"/>
      <c r="F5" s="16"/>
      <c r="G5" s="14"/>
      <c r="H5" s="14"/>
      <c r="I5" s="1"/>
    </row>
    <row r="6" spans="1:24" ht="62.25" hidden="1" customHeight="1" x14ac:dyDescent="0.35">
      <c r="A6" s="17" t="s">
        <v>11</v>
      </c>
      <c r="B6" s="18">
        <f>B16+B17+B18</f>
        <v>304356290990</v>
      </c>
      <c r="C6" s="19">
        <f>B6/$B$8*100</f>
        <v>77.964374967407849</v>
      </c>
      <c r="D6" s="20">
        <f>(B6/12)*8</f>
        <v>202904193993.33334</v>
      </c>
      <c r="E6" s="21"/>
      <c r="F6" s="22">
        <f>(E6/D6)*100</f>
        <v>0</v>
      </c>
      <c r="G6" s="23">
        <f>G16+G17</f>
        <v>319418019707.99725</v>
      </c>
      <c r="H6" s="19">
        <f>G6/$G$8*100</f>
        <v>80.768114735184241</v>
      </c>
      <c r="I6" s="1"/>
      <c r="J6" s="24"/>
      <c r="K6" s="25"/>
    </row>
    <row r="7" spans="1:24" ht="50.1" hidden="1" customHeight="1" x14ac:dyDescent="0.35">
      <c r="A7" s="17" t="s">
        <v>12</v>
      </c>
      <c r="B7" s="22">
        <f>B19</f>
        <v>86022380188</v>
      </c>
      <c r="C7" s="19">
        <f>B7/$B$8*100</f>
        <v>22.035625032592161</v>
      </c>
      <c r="D7" s="26">
        <f>(B7/12)*8</f>
        <v>57348253458.666664</v>
      </c>
      <c r="E7" s="27"/>
      <c r="F7" s="22">
        <f>(E7/D7)*100</f>
        <v>0</v>
      </c>
      <c r="G7" s="23">
        <f>G18+G19</f>
        <v>76057373961</v>
      </c>
      <c r="H7" s="19">
        <f>G7/$G$8*100</f>
        <v>19.231885264815759</v>
      </c>
      <c r="I7" s="1"/>
      <c r="J7" s="28"/>
      <c r="K7" s="25"/>
    </row>
    <row r="8" spans="1:24" ht="50.1" hidden="1" customHeight="1" x14ac:dyDescent="0.4">
      <c r="A8" s="13" t="s">
        <v>13</v>
      </c>
      <c r="B8" s="29">
        <f t="shared" ref="B8:H8" si="0">SUM(B6:B7)</f>
        <v>390378671178</v>
      </c>
      <c r="C8" s="29">
        <f t="shared" si="0"/>
        <v>100.00000000000001</v>
      </c>
      <c r="D8" s="30">
        <f t="shared" si="0"/>
        <v>260252447452</v>
      </c>
      <c r="E8" s="29">
        <f t="shared" si="0"/>
        <v>0</v>
      </c>
      <c r="F8" s="29">
        <f t="shared" si="0"/>
        <v>0</v>
      </c>
      <c r="G8" s="29">
        <f t="shared" si="0"/>
        <v>395475393668.99725</v>
      </c>
      <c r="H8" s="29">
        <f t="shared" si="0"/>
        <v>100</v>
      </c>
      <c r="I8" s="31"/>
      <c r="J8" s="32"/>
      <c r="K8" s="33"/>
    </row>
    <row r="9" spans="1:24" ht="50.1" hidden="1" customHeight="1" x14ac:dyDescent="0.4">
      <c r="A9" s="13" t="s">
        <v>14</v>
      </c>
      <c r="B9" s="34"/>
      <c r="C9" s="34"/>
      <c r="D9" s="35"/>
      <c r="E9" s="36"/>
      <c r="F9" s="16"/>
      <c r="G9" s="18"/>
      <c r="H9" s="34"/>
      <c r="I9" s="31"/>
      <c r="J9" s="32"/>
      <c r="K9" s="33"/>
    </row>
    <row r="10" spans="1:24" ht="50.1" hidden="1" customHeight="1" x14ac:dyDescent="0.35">
      <c r="A10" s="17" t="s">
        <v>15</v>
      </c>
      <c r="B10" s="18">
        <f>B23</f>
        <v>157096029253</v>
      </c>
      <c r="C10" s="19">
        <f>(B10/$B$12)*100</f>
        <v>40.241960140637218</v>
      </c>
      <c r="D10" s="20">
        <f>(B10/12)*8</f>
        <v>104730686168.66667</v>
      </c>
      <c r="E10" s="21"/>
      <c r="F10" s="16">
        <f>(E10/D10)*100</f>
        <v>0</v>
      </c>
      <c r="G10" s="18">
        <f>G23</f>
        <v>172154484314.56</v>
      </c>
      <c r="H10" s="19">
        <f>G10/$G$12*100</f>
        <v>43.53102293358711</v>
      </c>
      <c r="I10" s="1"/>
      <c r="J10" s="24"/>
      <c r="K10" s="25"/>
      <c r="M10" s="37"/>
      <c r="N10" s="38"/>
    </row>
    <row r="11" spans="1:24" ht="50.1" hidden="1" customHeight="1" x14ac:dyDescent="0.35">
      <c r="A11" s="17" t="s">
        <v>16</v>
      </c>
      <c r="B11" s="18">
        <f>B24</f>
        <v>233282641925</v>
      </c>
      <c r="C11" s="19">
        <f>(B11/$B$12)*100</f>
        <v>59.758039859362775</v>
      </c>
      <c r="D11" s="20">
        <f>(B11/12)*8</f>
        <v>155521761283.33334</v>
      </c>
      <c r="E11" s="21"/>
      <c r="F11" s="16">
        <f>(E11/D11)*100</f>
        <v>0</v>
      </c>
      <c r="G11" s="22">
        <f>G24</f>
        <v>223320909354.01202</v>
      </c>
      <c r="H11" s="19">
        <f>G11/$G$12*100</f>
        <v>56.468977066412883</v>
      </c>
      <c r="I11" s="1"/>
      <c r="J11" s="24"/>
      <c r="K11" s="25"/>
    </row>
    <row r="12" spans="1:24" ht="50.1" hidden="1" customHeight="1" x14ac:dyDescent="0.4">
      <c r="A12" s="13" t="s">
        <v>17</v>
      </c>
      <c r="B12" s="39">
        <f t="shared" ref="B12:H12" si="1">SUM(B10:B11)</f>
        <v>390378671178</v>
      </c>
      <c r="C12" s="39">
        <f t="shared" si="1"/>
        <v>100</v>
      </c>
      <c r="D12" s="40">
        <f t="shared" si="1"/>
        <v>260252447452</v>
      </c>
      <c r="E12" s="39">
        <f t="shared" si="1"/>
        <v>0</v>
      </c>
      <c r="F12" s="39">
        <f t="shared" si="1"/>
        <v>0</v>
      </c>
      <c r="G12" s="39">
        <f t="shared" si="1"/>
        <v>395475393668.57202</v>
      </c>
      <c r="H12" s="39">
        <f t="shared" si="1"/>
        <v>100</v>
      </c>
      <c r="I12" s="31"/>
      <c r="J12" s="32"/>
      <c r="K12" s="33"/>
      <c r="M12" s="38"/>
    </row>
    <row r="13" spans="1:24" s="49" customFormat="1" ht="105.75" hidden="1" customHeight="1" x14ac:dyDescent="0.4">
      <c r="A13" s="41"/>
      <c r="B13" s="42"/>
      <c r="C13" s="42"/>
      <c r="D13" s="43">
        <v>1</v>
      </c>
      <c r="E13" s="39"/>
      <c r="F13" s="16"/>
      <c r="G13" s="39"/>
      <c r="H13" s="44"/>
      <c r="I13" s="31"/>
      <c r="J13" s="45"/>
      <c r="K13" s="46"/>
      <c r="L13" s="47"/>
      <c r="M13" s="48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1:24" ht="93" customHeight="1" x14ac:dyDescent="0.4">
      <c r="A14" s="7" t="s">
        <v>2</v>
      </c>
      <c r="B14" s="7" t="s">
        <v>3</v>
      </c>
      <c r="C14" s="7" t="s">
        <v>4</v>
      </c>
      <c r="D14" s="8" t="s">
        <v>5</v>
      </c>
      <c r="E14" s="7" t="s">
        <v>6</v>
      </c>
      <c r="F14" s="7" t="s">
        <v>7</v>
      </c>
      <c r="G14" s="7" t="s">
        <v>2068</v>
      </c>
      <c r="H14" s="7" t="s">
        <v>9</v>
      </c>
      <c r="I14" s="10"/>
      <c r="J14" s="11"/>
      <c r="K14" s="12"/>
    </row>
    <row r="15" spans="1:24" ht="57" customHeight="1" x14ac:dyDescent="0.4">
      <c r="A15" s="13" t="s">
        <v>10</v>
      </c>
      <c r="B15" s="14"/>
      <c r="C15" s="14"/>
      <c r="D15" s="15"/>
      <c r="E15" s="14"/>
      <c r="F15" s="16"/>
      <c r="G15" s="14"/>
      <c r="H15" s="14"/>
      <c r="I15" s="1"/>
    </row>
    <row r="16" spans="1:24" ht="57" customHeight="1" x14ac:dyDescent="0.35">
      <c r="A16" s="17" t="s">
        <v>18</v>
      </c>
      <c r="B16" s="18">
        <f>B43</f>
        <v>73410363076</v>
      </c>
      <c r="C16" s="19">
        <f>B16/$B$20*100</f>
        <v>18.804911358112406</v>
      </c>
      <c r="D16" s="20">
        <f>B16/12*8</f>
        <v>48940242050.666664</v>
      </c>
      <c r="E16" s="21">
        <f>E43</f>
        <v>36168411688.760002</v>
      </c>
      <c r="F16" s="16">
        <f>E16/D16*100</f>
        <v>73.903213742416128</v>
      </c>
      <c r="G16" s="23">
        <f>G43</f>
        <v>71012876590.497253</v>
      </c>
      <c r="H16" s="19">
        <f>G16/$G$20*100</f>
        <v>17.956332486752185</v>
      </c>
      <c r="I16" s="50"/>
      <c r="J16" s="51"/>
      <c r="K16" s="25"/>
    </row>
    <row r="17" spans="1:24" ht="57" customHeight="1" x14ac:dyDescent="0.35">
      <c r="A17" s="17" t="s">
        <v>19</v>
      </c>
      <c r="B17" s="18">
        <f>B44</f>
        <v>217894748193</v>
      </c>
      <c r="C17" s="19">
        <f>B17/$B$20*100</f>
        <v>55.816253366374887</v>
      </c>
      <c r="D17" s="20">
        <f>B17/12*8</f>
        <v>145263165462</v>
      </c>
      <c r="E17" s="21">
        <f>E44</f>
        <v>151224187288.79999</v>
      </c>
      <c r="F17" s="16">
        <f>E17/D17*100</f>
        <v>104.10360176844648</v>
      </c>
      <c r="G17" s="23">
        <f>G44</f>
        <v>248405143117.5</v>
      </c>
      <c r="H17" s="19">
        <f t="shared" ref="H17:H19" si="2">G17/$G$20*100</f>
        <v>62.81178224843206</v>
      </c>
      <c r="I17" s="1"/>
      <c r="J17" s="24"/>
      <c r="K17" s="25"/>
    </row>
    <row r="18" spans="1:24" ht="57" customHeight="1" x14ac:dyDescent="0.35">
      <c r="A18" s="17" t="s">
        <v>20</v>
      </c>
      <c r="B18" s="18">
        <f>B45</f>
        <v>13051179721</v>
      </c>
      <c r="C18" s="19">
        <f>B18/$B$20*100</f>
        <v>3.3432102429205428</v>
      </c>
      <c r="D18" s="20">
        <f>B18/12*8</f>
        <v>8700786480.666666</v>
      </c>
      <c r="E18" s="21">
        <f>E45</f>
        <v>10025753735.610001</v>
      </c>
      <c r="F18" s="16">
        <f>E18/D18*100</f>
        <v>115.22813205320507</v>
      </c>
      <c r="G18" s="23">
        <f>G45</f>
        <v>22958761951</v>
      </c>
      <c r="H18" s="19">
        <f t="shared" si="2"/>
        <v>5.80535788535453</v>
      </c>
      <c r="I18" s="1"/>
      <c r="J18" s="24"/>
      <c r="K18" s="25"/>
    </row>
    <row r="19" spans="1:24" ht="57" customHeight="1" x14ac:dyDescent="0.35">
      <c r="A19" s="17" t="s">
        <v>21</v>
      </c>
      <c r="B19" s="18">
        <f>B63</f>
        <v>86022380188</v>
      </c>
      <c r="C19" s="19">
        <f>B19/$B$20*100</f>
        <v>22.035625032592161</v>
      </c>
      <c r="D19" s="20">
        <f>B19/12*8</f>
        <v>57348253458.666664</v>
      </c>
      <c r="E19" s="21">
        <f>E63</f>
        <v>41138671874.599998</v>
      </c>
      <c r="F19" s="16">
        <f>E19/D19*100</f>
        <v>71.734829560677724</v>
      </c>
      <c r="G19" s="52">
        <f>G63</f>
        <v>53098612010</v>
      </c>
      <c r="H19" s="19">
        <f t="shared" si="2"/>
        <v>13.426527379461231</v>
      </c>
      <c r="I19" s="1"/>
      <c r="J19" s="24"/>
      <c r="K19" s="25"/>
    </row>
    <row r="20" spans="1:24" ht="57" customHeight="1" x14ac:dyDescent="0.4">
      <c r="A20" s="13" t="s">
        <v>13</v>
      </c>
      <c r="B20" s="53">
        <f>SUM(B16:B19)</f>
        <v>390378671178</v>
      </c>
      <c r="C20" s="53">
        <f>SUM(C16:C19)</f>
        <v>100.00000000000001</v>
      </c>
      <c r="D20" s="54">
        <f>SUM(D16:D19)</f>
        <v>260252447451.99997</v>
      </c>
      <c r="E20" s="53">
        <f>SUM(E16:E19)</f>
        <v>238557024587.76999</v>
      </c>
      <c r="F20" s="55">
        <f>E20/D20*100</f>
        <v>91.663700734944513</v>
      </c>
      <c r="G20" s="53">
        <f>SUM(G16:G19)</f>
        <v>395475393668.99725</v>
      </c>
      <c r="H20" s="53">
        <f>SUM(H16:H19)</f>
        <v>100</v>
      </c>
      <c r="I20" s="31"/>
      <c r="J20" s="32"/>
      <c r="K20" s="33"/>
    </row>
    <row r="21" spans="1:24" ht="16.5" customHeight="1" x14ac:dyDescent="0.4">
      <c r="A21" s="13"/>
      <c r="B21" s="14"/>
      <c r="C21" s="14"/>
      <c r="D21" s="15"/>
      <c r="E21" s="16"/>
      <c r="F21" s="16"/>
      <c r="G21" s="18"/>
      <c r="H21" s="34"/>
      <c r="I21" s="31"/>
      <c r="J21" s="32"/>
      <c r="K21" s="33"/>
    </row>
    <row r="22" spans="1:24" ht="57" customHeight="1" x14ac:dyDescent="0.4">
      <c r="A22" s="13" t="s">
        <v>22</v>
      </c>
      <c r="B22" s="14"/>
      <c r="C22" s="14"/>
      <c r="D22" s="15"/>
      <c r="E22" s="16"/>
      <c r="F22" s="16"/>
      <c r="G22" s="18"/>
      <c r="H22" s="34"/>
      <c r="I22" s="31"/>
      <c r="J22" s="32"/>
      <c r="K22" s="33"/>
    </row>
    <row r="23" spans="1:24" ht="57" customHeight="1" x14ac:dyDescent="0.35">
      <c r="A23" s="17" t="s">
        <v>15</v>
      </c>
      <c r="B23" s="18">
        <f>B31</f>
        <v>157096029253</v>
      </c>
      <c r="C23" s="19">
        <f>B23/$B$25*100</f>
        <v>40.241960140637218</v>
      </c>
      <c r="D23" s="20">
        <f>B23/12*8</f>
        <v>104730686168.66667</v>
      </c>
      <c r="E23" s="21">
        <f>E31</f>
        <v>118537090731.29001</v>
      </c>
      <c r="F23" s="16">
        <f>E23/D23*100</f>
        <v>113.18276912689026</v>
      </c>
      <c r="G23" s="18">
        <f>G31</f>
        <v>172154484314.56</v>
      </c>
      <c r="H23" s="19">
        <f>G23/$G$25*100</f>
        <v>43.531022933532078</v>
      </c>
      <c r="I23" s="1"/>
      <c r="J23" s="24"/>
      <c r="K23" s="25"/>
    </row>
    <row r="24" spans="1:24" ht="57" customHeight="1" x14ac:dyDescent="0.35">
      <c r="A24" s="17" t="s">
        <v>16</v>
      </c>
      <c r="B24" s="23">
        <f>B39</f>
        <v>233282641925</v>
      </c>
      <c r="C24" s="19">
        <f>B24/$B$25*100</f>
        <v>59.758039859362775</v>
      </c>
      <c r="D24" s="20">
        <f>B24/12*8</f>
        <v>155521761283.33334</v>
      </c>
      <c r="E24" s="21">
        <f>E39</f>
        <v>139450687617.03</v>
      </c>
      <c r="F24" s="16">
        <f>E24/D24*100</f>
        <v>89.666350526326227</v>
      </c>
      <c r="G24" s="21">
        <f>G39</f>
        <v>223320909354.01202</v>
      </c>
      <c r="H24" s="19">
        <f>G24/$G$25*100</f>
        <v>56.468977066341495</v>
      </c>
      <c r="I24" s="1"/>
      <c r="J24" s="24"/>
      <c r="K24" s="25"/>
    </row>
    <row r="25" spans="1:24" ht="57" customHeight="1" x14ac:dyDescent="0.4">
      <c r="A25" s="13" t="s">
        <v>17</v>
      </c>
      <c r="B25" s="34">
        <f>SUM(B23:B24)</f>
        <v>390378671178</v>
      </c>
      <c r="C25" s="29">
        <f>SUM(C23:C24)</f>
        <v>100</v>
      </c>
      <c r="D25" s="30">
        <f>SUM(D23:D24)</f>
        <v>260252447452</v>
      </c>
      <c r="E25" s="29">
        <f>SUM(E23:E24)</f>
        <v>257987778348.32001</v>
      </c>
      <c r="F25" s="56">
        <f>E25/D25*100</f>
        <v>99.12981832607062</v>
      </c>
      <c r="G25" s="34">
        <f>SUM(G23:G24)+0.5</f>
        <v>395475393669.07202</v>
      </c>
      <c r="H25" s="34">
        <f>SUM(H23:H24)</f>
        <v>99.99999999987358</v>
      </c>
      <c r="I25" s="31"/>
      <c r="J25" s="76"/>
      <c r="K25" s="33"/>
    </row>
    <row r="26" spans="1:24" s="49" customFormat="1" ht="105.75" customHeight="1" x14ac:dyDescent="0.4">
      <c r="A26" s="41"/>
      <c r="B26" s="42"/>
      <c r="C26" s="42"/>
      <c r="D26" s="43">
        <v>1</v>
      </c>
      <c r="E26" s="42"/>
      <c r="F26" s="57"/>
      <c r="G26" s="58"/>
      <c r="H26" s="59"/>
      <c r="I26" s="31"/>
      <c r="J26" s="32"/>
      <c r="K26" s="46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24" ht="82.5" customHeight="1" x14ac:dyDescent="0.4">
      <c r="A27" s="7" t="s">
        <v>2</v>
      </c>
      <c r="B27" s="7" t="s">
        <v>3</v>
      </c>
      <c r="C27" s="7" t="s">
        <v>4</v>
      </c>
      <c r="D27" s="7" t="s">
        <v>5</v>
      </c>
      <c r="E27" s="7" t="s">
        <v>6</v>
      </c>
      <c r="F27" s="7" t="s">
        <v>7</v>
      </c>
      <c r="G27" s="7" t="s">
        <v>2069</v>
      </c>
      <c r="H27" s="7" t="s">
        <v>9</v>
      </c>
      <c r="I27" s="10"/>
      <c r="J27" s="11"/>
      <c r="K27" s="12"/>
      <c r="L27" s="60"/>
    </row>
    <row r="28" spans="1:24" ht="35.1" customHeight="1" x14ac:dyDescent="0.4">
      <c r="A28" s="13" t="s">
        <v>23</v>
      </c>
      <c r="B28" s="61"/>
      <c r="C28" s="61"/>
      <c r="D28" s="61"/>
      <c r="E28" s="16"/>
      <c r="F28" s="16"/>
      <c r="G28" s="27"/>
      <c r="H28" s="14"/>
      <c r="I28" s="62"/>
      <c r="J28" s="63"/>
      <c r="K28" s="64"/>
      <c r="L28" s="65"/>
    </row>
    <row r="29" spans="1:24" ht="35.1" customHeight="1" x14ac:dyDescent="0.35">
      <c r="A29" s="17" t="s">
        <v>24</v>
      </c>
      <c r="B29" s="66">
        <f>B48</f>
        <v>66165356710</v>
      </c>
      <c r="C29" s="67">
        <f>C48</f>
        <v>42.11777791241434</v>
      </c>
      <c r="D29" s="66">
        <f>B29/12*8</f>
        <v>44110237806.666664</v>
      </c>
      <c r="E29" s="21">
        <f>E48</f>
        <v>52672774467.290001</v>
      </c>
      <c r="F29" s="68">
        <f>E29/D29*100</f>
        <v>119.41167648687949</v>
      </c>
      <c r="G29" s="66">
        <f>G48</f>
        <v>83959405755</v>
      </c>
      <c r="H29" s="67">
        <f>H48</f>
        <v>48.769804684024209</v>
      </c>
      <c r="I29" s="50"/>
      <c r="J29" s="69"/>
      <c r="K29" s="70"/>
      <c r="L29" s="71"/>
    </row>
    <row r="30" spans="1:24" ht="35.1" customHeight="1" x14ac:dyDescent="0.35">
      <c r="A30" s="17" t="s">
        <v>25</v>
      </c>
      <c r="B30" s="66">
        <f>B49</f>
        <v>90930672543</v>
      </c>
      <c r="C30" s="67">
        <f>C49</f>
        <v>57.882222087585667</v>
      </c>
      <c r="D30" s="66">
        <f>B30/12*8</f>
        <v>60620448362</v>
      </c>
      <c r="E30" s="21">
        <f>E49</f>
        <v>65864316264</v>
      </c>
      <c r="F30" s="68">
        <f>E30/D30*100</f>
        <v>108.65032846785594</v>
      </c>
      <c r="G30" s="66">
        <f>G49</f>
        <v>88195078559.559998</v>
      </c>
      <c r="H30" s="67">
        <f>H49</f>
        <v>51.230195315975791</v>
      </c>
      <c r="I30" s="50"/>
      <c r="J30" s="51"/>
      <c r="K30" s="70"/>
      <c r="L30" s="71"/>
    </row>
    <row r="31" spans="1:24" ht="35.1" customHeight="1" x14ac:dyDescent="0.4">
      <c r="A31" s="13" t="s">
        <v>33</v>
      </c>
      <c r="B31" s="39">
        <f>SUM(B29:B30)</f>
        <v>157096029253</v>
      </c>
      <c r="C31" s="39">
        <f>SUM(C29:C30)</f>
        <v>100</v>
      </c>
      <c r="D31" s="39">
        <f>SUM(D29:D30)</f>
        <v>104730686168.66666</v>
      </c>
      <c r="E31" s="39">
        <f>SUM(E29:E30)</f>
        <v>118537090731.29001</v>
      </c>
      <c r="F31" s="72">
        <f>E31/D31*100</f>
        <v>113.18276912689029</v>
      </c>
      <c r="G31" s="39">
        <f>SUM(G29:G30)</f>
        <v>172154484314.56</v>
      </c>
      <c r="H31" s="39">
        <f>SUM(H29:H30)</f>
        <v>100</v>
      </c>
      <c r="I31" s="50"/>
      <c r="J31" s="51"/>
      <c r="K31" s="70"/>
      <c r="L31" s="71"/>
    </row>
    <row r="32" spans="1:24" ht="35.1" customHeight="1" x14ac:dyDescent="0.4">
      <c r="A32" s="13" t="s">
        <v>34</v>
      </c>
      <c r="B32" s="61"/>
      <c r="C32" s="61"/>
      <c r="D32" s="61"/>
      <c r="E32" s="73"/>
      <c r="F32" s="73"/>
      <c r="G32" s="61"/>
      <c r="H32" s="14"/>
      <c r="I32" s="50"/>
      <c r="J32" s="51"/>
      <c r="K32" s="70"/>
      <c r="L32" s="71"/>
    </row>
    <row r="33" spans="1:24" ht="35.1" customHeight="1" x14ac:dyDescent="0.35">
      <c r="A33" s="17" t="s">
        <v>35</v>
      </c>
      <c r="B33" s="36">
        <f t="shared" ref="B33:B38" si="3">B68</f>
        <v>19983414038</v>
      </c>
      <c r="C33" s="74">
        <f t="shared" ref="C33:C38" si="4">C68</f>
        <v>8.5661812954024388</v>
      </c>
      <c r="D33" s="66">
        <f t="shared" ref="D33:D38" si="5">B33/12*8</f>
        <v>13322276025.333334</v>
      </c>
      <c r="E33" s="21">
        <f t="shared" ref="E33:E38" si="6">E68</f>
        <v>2312367149.5799999</v>
      </c>
      <c r="F33" s="68">
        <f t="shared" ref="F33:F39" si="7">E33/D33*100</f>
        <v>17.357147871601335</v>
      </c>
      <c r="G33" s="21">
        <f t="shared" ref="G33:H38" si="8">G68</f>
        <v>12433527399.78824</v>
      </c>
      <c r="H33" s="67">
        <f t="shared" si="8"/>
        <v>5.5675607965926766</v>
      </c>
      <c r="I33" s="50"/>
      <c r="J33" s="51"/>
      <c r="K33" s="70"/>
      <c r="L33" s="71"/>
    </row>
    <row r="34" spans="1:24" ht="35.1" customHeight="1" x14ac:dyDescent="0.35">
      <c r="A34" s="17" t="s">
        <v>36</v>
      </c>
      <c r="B34" s="36">
        <f t="shared" si="3"/>
        <v>131064846283</v>
      </c>
      <c r="C34" s="74">
        <f t="shared" si="4"/>
        <v>56.182854069844225</v>
      </c>
      <c r="D34" s="66">
        <f t="shared" si="5"/>
        <v>87376564188.666672</v>
      </c>
      <c r="E34" s="21">
        <f t="shared" si="6"/>
        <v>107731419560.59</v>
      </c>
      <c r="F34" s="68">
        <f t="shared" si="7"/>
        <v>123.29555477596072</v>
      </c>
      <c r="G34" s="21">
        <f t="shared" si="8"/>
        <v>113215700294.59102</v>
      </c>
      <c r="H34" s="67">
        <f t="shared" si="8"/>
        <v>50.696417376269778</v>
      </c>
      <c r="I34" s="50"/>
      <c r="J34" s="51"/>
      <c r="K34" s="70"/>
      <c r="L34" s="71"/>
    </row>
    <row r="35" spans="1:24" ht="35.1" customHeight="1" x14ac:dyDescent="0.35">
      <c r="A35" s="17" t="s">
        <v>37</v>
      </c>
      <c r="B35" s="36">
        <f t="shared" si="3"/>
        <v>3445848935</v>
      </c>
      <c r="C35" s="74">
        <f t="shared" si="4"/>
        <v>1.4771133019437575</v>
      </c>
      <c r="D35" s="66">
        <f t="shared" si="5"/>
        <v>2297232623.3333335</v>
      </c>
      <c r="E35" s="21">
        <f t="shared" si="6"/>
        <v>455449144.87</v>
      </c>
      <c r="F35" s="68">
        <f t="shared" si="7"/>
        <v>19.825991510129853</v>
      </c>
      <c r="G35" s="21">
        <f t="shared" si="8"/>
        <v>1901703128</v>
      </c>
      <c r="H35" s="67">
        <f t="shared" si="8"/>
        <v>0.85155623515099899</v>
      </c>
      <c r="I35" s="50"/>
      <c r="J35" s="51"/>
      <c r="K35" s="70"/>
      <c r="L35" s="71"/>
    </row>
    <row r="36" spans="1:24" ht="35.1" customHeight="1" x14ac:dyDescent="0.35">
      <c r="A36" s="17" t="s">
        <v>38</v>
      </c>
      <c r="B36" s="36">
        <f t="shared" si="3"/>
        <v>31000000000</v>
      </c>
      <c r="C36" s="74">
        <f t="shared" si="4"/>
        <v>13.288601219616867</v>
      </c>
      <c r="D36" s="66">
        <f t="shared" si="5"/>
        <v>20666666666.666668</v>
      </c>
      <c r="E36" s="21">
        <f t="shared" si="6"/>
        <v>22230385250.920002</v>
      </c>
      <c r="F36" s="68">
        <f t="shared" si="7"/>
        <v>107.5663802463871</v>
      </c>
      <c r="G36" s="21">
        <f t="shared" si="8"/>
        <v>43714320016.07</v>
      </c>
      <c r="H36" s="67">
        <f t="shared" si="8"/>
        <v>19.574665060481788</v>
      </c>
      <c r="I36" s="50"/>
      <c r="J36" s="51"/>
      <c r="K36" s="70"/>
      <c r="L36" s="71"/>
    </row>
    <row r="37" spans="1:24" ht="35.1" customHeight="1" x14ac:dyDescent="0.35">
      <c r="A37" s="17" t="s">
        <v>39</v>
      </c>
      <c r="B37" s="36">
        <f t="shared" si="3"/>
        <v>44788532669</v>
      </c>
      <c r="C37" s="74">
        <f t="shared" si="4"/>
        <v>19.199256446778172</v>
      </c>
      <c r="D37" s="66">
        <f t="shared" si="5"/>
        <v>29859021779.333332</v>
      </c>
      <c r="E37" s="21">
        <f t="shared" si="6"/>
        <v>6721066511.0699997</v>
      </c>
      <c r="F37" s="68">
        <f t="shared" si="7"/>
        <v>22.509332558650428</v>
      </c>
      <c r="G37" s="21">
        <f t="shared" si="8"/>
        <v>49055658515.562759</v>
      </c>
      <c r="H37" s="67">
        <f t="shared" si="8"/>
        <v>21.966442218717152</v>
      </c>
      <c r="I37" s="50"/>
      <c r="J37" s="51"/>
      <c r="K37" s="70"/>
      <c r="L37" s="71"/>
    </row>
    <row r="38" spans="1:24" ht="35.1" customHeight="1" x14ac:dyDescent="0.35">
      <c r="A38" s="17" t="s">
        <v>40</v>
      </c>
      <c r="B38" s="36">
        <f t="shared" si="3"/>
        <v>3000000000</v>
      </c>
      <c r="C38" s="74">
        <f t="shared" si="4"/>
        <v>1.2859936664145355</v>
      </c>
      <c r="D38" s="66">
        <f t="shared" si="5"/>
        <v>2000000000</v>
      </c>
      <c r="E38" s="16">
        <f t="shared" si="6"/>
        <v>0</v>
      </c>
      <c r="F38" s="68">
        <v>0</v>
      </c>
      <c r="G38" s="21">
        <f t="shared" si="8"/>
        <v>3000000000</v>
      </c>
      <c r="H38" s="67">
        <f t="shared" si="8"/>
        <v>1.3433583127876081</v>
      </c>
      <c r="I38" s="50"/>
      <c r="J38" s="51"/>
      <c r="K38" s="70"/>
      <c r="L38" s="71"/>
    </row>
    <row r="39" spans="1:24" ht="35.1" customHeight="1" x14ac:dyDescent="0.4">
      <c r="A39" s="13" t="s">
        <v>41</v>
      </c>
      <c r="B39" s="39">
        <f>SUM(B33:B38)</f>
        <v>233282641925</v>
      </c>
      <c r="C39" s="39">
        <f>SUM(C33:C38)</f>
        <v>100.00000000000001</v>
      </c>
      <c r="D39" s="39">
        <f>SUM(D33:D38)</f>
        <v>155521761283.33334</v>
      </c>
      <c r="E39" s="39">
        <f>SUM(E33:E38)</f>
        <v>139450687617.03</v>
      </c>
      <c r="F39" s="72">
        <f t="shared" si="7"/>
        <v>89.666350526326227</v>
      </c>
      <c r="G39" s="39">
        <f>SUM(G33:G38)</f>
        <v>223320909354.01202</v>
      </c>
      <c r="H39" s="75">
        <f>SUM(H33:H38)</f>
        <v>100</v>
      </c>
      <c r="I39" s="1"/>
      <c r="J39" s="76"/>
    </row>
    <row r="40" spans="1:24" s="49" customFormat="1" ht="91.5" customHeight="1" x14ac:dyDescent="0.4">
      <c r="A40" s="41"/>
      <c r="B40" s="42"/>
      <c r="C40" s="42"/>
      <c r="D40" s="43">
        <v>2</v>
      </c>
      <c r="E40" s="42"/>
      <c r="F40" s="57"/>
      <c r="G40" s="42"/>
      <c r="H40" s="59"/>
      <c r="I40" s="1"/>
      <c r="J40" s="77"/>
      <c r="K40" s="78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1:24" ht="78.75" customHeight="1" x14ac:dyDescent="0.4">
      <c r="A41" s="7" t="s">
        <v>2</v>
      </c>
      <c r="B41" s="7" t="s">
        <v>3</v>
      </c>
      <c r="C41" s="7" t="s">
        <v>4</v>
      </c>
      <c r="D41" s="7" t="s">
        <v>5</v>
      </c>
      <c r="E41" s="7" t="s">
        <v>6</v>
      </c>
      <c r="F41" s="7" t="s">
        <v>7</v>
      </c>
      <c r="G41" s="7" t="s">
        <v>2069</v>
      </c>
      <c r="H41" s="7" t="s">
        <v>9</v>
      </c>
      <c r="I41" s="10"/>
      <c r="J41" s="11"/>
      <c r="K41" s="12"/>
    </row>
    <row r="42" spans="1:24" ht="39.950000000000003" customHeight="1" x14ac:dyDescent="0.4">
      <c r="A42" s="13" t="s">
        <v>42</v>
      </c>
      <c r="B42" s="61"/>
      <c r="C42" s="61"/>
      <c r="D42" s="61"/>
      <c r="E42" s="14"/>
      <c r="F42" s="16"/>
      <c r="G42" s="14"/>
      <c r="H42" s="14"/>
      <c r="I42" s="1"/>
    </row>
    <row r="43" spans="1:24" ht="50.25" customHeight="1" x14ac:dyDescent="0.35">
      <c r="A43" s="17" t="s">
        <v>18</v>
      </c>
      <c r="B43" s="27">
        <v>73410363076</v>
      </c>
      <c r="C43" s="79">
        <f>B43/$B$46*100</f>
        <v>24.119877015590255</v>
      </c>
      <c r="D43" s="27">
        <f>B43/12*8</f>
        <v>48940242050.666664</v>
      </c>
      <c r="E43" s="21">
        <f>35292427805.55+598501236.36+40243+277442403.85</f>
        <v>36168411688.760002</v>
      </c>
      <c r="F43" s="16">
        <f>E43/D43*100</f>
        <v>73.903213742416128</v>
      </c>
      <c r="G43" s="27">
        <f>'[3]Recurrent Revenue Sum'!G24</f>
        <v>71012876590.497253</v>
      </c>
      <c r="H43" s="79">
        <f>G43/$G$46*100</f>
        <v>20.741148464099162</v>
      </c>
      <c r="I43" s="50"/>
      <c r="J43" s="76"/>
    </row>
    <row r="44" spans="1:24" ht="64.5" customHeight="1" x14ac:dyDescent="0.35">
      <c r="A44" s="17" t="s">
        <v>43</v>
      </c>
      <c r="B44" s="27">
        <v>217894748193</v>
      </c>
      <c r="C44" s="79">
        <f>B44/$B$46*100</f>
        <v>71.591997485657103</v>
      </c>
      <c r="D44" s="27">
        <f>B44/12*8</f>
        <v>145263165462</v>
      </c>
      <c r="E44" s="21">
        <f>151224187288.8</f>
        <v>151224187288.79999</v>
      </c>
      <c r="F44" s="16">
        <f>E44/D44*100</f>
        <v>104.10360176844648</v>
      </c>
      <c r="G44" s="27">
        <f>'[3]Recurrent Revenue Sum'!G5+'[3]Recurrent Revenue Sum'!G6+'[3]Recurrent Revenue Sum'!G8</f>
        <v>248405143117.5</v>
      </c>
      <c r="H44" s="79">
        <f>G44/$G$46*100</f>
        <v>72.553150921579785</v>
      </c>
      <c r="I44" s="50"/>
      <c r="J44" s="51"/>
    </row>
    <row r="45" spans="1:24" ht="50.25" customHeight="1" x14ac:dyDescent="0.35">
      <c r="A45" s="17" t="s">
        <v>20</v>
      </c>
      <c r="B45" s="27">
        <v>13051179721</v>
      </c>
      <c r="C45" s="79">
        <f>B45/$B$46*100</f>
        <v>4.2881254987526489</v>
      </c>
      <c r="D45" s="27">
        <f>B45/12*8</f>
        <v>8700786480.666666</v>
      </c>
      <c r="E45" s="21">
        <f>10025753735.61</f>
        <v>10025753735.610001</v>
      </c>
      <c r="F45" s="16">
        <f>E45/D45*100</f>
        <v>115.22813205320507</v>
      </c>
      <c r="G45" s="27">
        <f>'[3]Recurrent Revenue Sum'!G7</f>
        <v>22958761951</v>
      </c>
      <c r="H45" s="79">
        <f>G45/$G$46*100</f>
        <v>6.7057006143210449</v>
      </c>
      <c r="I45" s="50"/>
      <c r="J45" s="51"/>
    </row>
    <row r="46" spans="1:24" s="49" customFormat="1" ht="35.1" customHeight="1" x14ac:dyDescent="0.4">
      <c r="A46" s="13" t="s">
        <v>44</v>
      </c>
      <c r="B46" s="80">
        <f>SUM(B43:B45)</f>
        <v>304356290990</v>
      </c>
      <c r="C46" s="80">
        <f t="shared" ref="C46:H46" si="9">SUM(C43:C45)</f>
        <v>100.00000000000001</v>
      </c>
      <c r="D46" s="80">
        <f t="shared" si="9"/>
        <v>202904193993.33331</v>
      </c>
      <c r="E46" s="80">
        <f t="shared" si="9"/>
        <v>197418352713.16998</v>
      </c>
      <c r="F46" s="81">
        <f>E46/D46*100</f>
        <v>97.296339138094126</v>
      </c>
      <c r="G46" s="80">
        <f t="shared" si="9"/>
        <v>342376781658.99725</v>
      </c>
      <c r="H46" s="80">
        <f t="shared" si="9"/>
        <v>100</v>
      </c>
      <c r="I46" s="82"/>
      <c r="J46" s="83"/>
      <c r="K46" s="78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1:24" s="49" customFormat="1" ht="35.1" customHeight="1" x14ac:dyDescent="0.4">
      <c r="A47" s="13" t="s">
        <v>23</v>
      </c>
      <c r="B47" s="14"/>
      <c r="C47" s="14"/>
      <c r="D47" s="14"/>
      <c r="E47" s="14"/>
      <c r="F47" s="16"/>
      <c r="G47" s="27"/>
      <c r="H47" s="14"/>
      <c r="I47" s="1"/>
      <c r="J47" s="77"/>
      <c r="K47" s="78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1:24" ht="35.1" customHeight="1" x14ac:dyDescent="0.35">
      <c r="A48" s="17" t="s">
        <v>24</v>
      </c>
      <c r="B48" s="36">
        <f>66165356710</f>
        <v>66165356710</v>
      </c>
      <c r="C48" s="74">
        <f>B48/$B$50*100</f>
        <v>42.11777791241434</v>
      </c>
      <c r="D48" s="36">
        <f>B48/12*8</f>
        <v>44110237806.666664</v>
      </c>
      <c r="E48" s="21">
        <v>52672774467.290001</v>
      </c>
      <c r="F48" s="16">
        <f>E48/D48*100</f>
        <v>119.41167648687949</v>
      </c>
      <c r="G48" s="84">
        <f>Personnel!H168</f>
        <v>83959405755</v>
      </c>
      <c r="H48" s="67">
        <f>G48/$G$50*100</f>
        <v>48.769804684024209</v>
      </c>
      <c r="I48" s="1"/>
      <c r="M48" s="85"/>
      <c r="N48" s="85"/>
    </row>
    <row r="49" spans="1:24" ht="57.75" customHeight="1" x14ac:dyDescent="0.35">
      <c r="A49" s="17" t="s">
        <v>2057</v>
      </c>
      <c r="B49" s="36">
        <v>90930672543</v>
      </c>
      <c r="C49" s="74">
        <f>B49/$B$50*100</f>
        <v>57.882222087585667</v>
      </c>
      <c r="D49" s="36">
        <f>B49/12*8</f>
        <v>60620448362</v>
      </c>
      <c r="E49" s="21">
        <f>81464639182-15600322918</f>
        <v>65864316264</v>
      </c>
      <c r="F49" s="16">
        <f>E49/D49*100</f>
        <v>108.65032846785594</v>
      </c>
      <c r="G49" s="84">
        <f>Personnel!H199+Overhead!H1183</f>
        <v>88195078559.559998</v>
      </c>
      <c r="H49" s="67">
        <f>G49/$G$50*100</f>
        <v>51.230195315975791</v>
      </c>
      <c r="I49" s="868"/>
      <c r="J49" s="86"/>
      <c r="K49" s="86"/>
      <c r="M49" s="85"/>
      <c r="N49" s="85"/>
    </row>
    <row r="50" spans="1:24" s="90" customFormat="1" ht="39" customHeight="1" x14ac:dyDescent="0.4">
      <c r="A50" s="13" t="s">
        <v>33</v>
      </c>
      <c r="B50" s="80">
        <f>SUM(B48:B49)</f>
        <v>157096029253</v>
      </c>
      <c r="C50" s="80">
        <f>SUM(C48:C49)</f>
        <v>100</v>
      </c>
      <c r="D50" s="80">
        <f>B50/12*8</f>
        <v>104730686168.66667</v>
      </c>
      <c r="E50" s="80">
        <f>SUM(E48:E49)</f>
        <v>118537090731.29001</v>
      </c>
      <c r="F50" s="81">
        <f>E50/D50*100</f>
        <v>113.18276912689026</v>
      </c>
      <c r="G50" s="80">
        <f>SUM(G48:G49)</f>
        <v>172154484314.56</v>
      </c>
      <c r="H50" s="80">
        <f>SUM(H48:H49)</f>
        <v>100</v>
      </c>
      <c r="I50" s="1"/>
      <c r="J50" s="87"/>
      <c r="K50" s="87"/>
      <c r="L50" s="88"/>
      <c r="M50" s="89"/>
      <c r="N50" s="89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ht="105.95" customHeight="1" x14ac:dyDescent="0.4">
      <c r="A51" s="91"/>
      <c r="B51" s="92"/>
      <c r="C51" s="92"/>
      <c r="D51" s="43">
        <v>3</v>
      </c>
      <c r="E51" s="93"/>
      <c r="F51" s="57"/>
      <c r="G51" s="94"/>
      <c r="H51" s="95"/>
      <c r="I51" s="1"/>
      <c r="J51" s="96"/>
      <c r="K51" s="97"/>
      <c r="M51" s="85"/>
      <c r="N51" s="85"/>
    </row>
    <row r="52" spans="1:24" ht="93.75" customHeight="1" x14ac:dyDescent="0.4">
      <c r="A52" s="7" t="s">
        <v>2</v>
      </c>
      <c r="B52" s="7" t="s">
        <v>3</v>
      </c>
      <c r="C52" s="7" t="s">
        <v>4</v>
      </c>
      <c r="D52" s="7" t="s">
        <v>5</v>
      </c>
      <c r="E52" s="7" t="s">
        <v>6</v>
      </c>
      <c r="F52" s="7" t="s">
        <v>7</v>
      </c>
      <c r="G52" s="7" t="s">
        <v>2069</v>
      </c>
      <c r="H52" s="7" t="s">
        <v>9</v>
      </c>
      <c r="I52" s="1"/>
      <c r="J52" s="11"/>
      <c r="K52" s="12"/>
    </row>
    <row r="53" spans="1:24" ht="31.5" customHeight="1" x14ac:dyDescent="0.4">
      <c r="A53" s="13" t="s">
        <v>45</v>
      </c>
      <c r="B53" s="61"/>
      <c r="C53" s="61"/>
      <c r="D53" s="61"/>
      <c r="E53" s="14"/>
      <c r="F53" s="16"/>
      <c r="G53" s="14"/>
      <c r="H53" s="14"/>
      <c r="I53" s="10"/>
      <c r="J53" s="11"/>
      <c r="K53" s="12"/>
    </row>
    <row r="54" spans="1:24" ht="54.75" customHeight="1" x14ac:dyDescent="0.4">
      <c r="A54" s="13" t="s">
        <v>46</v>
      </c>
      <c r="B54" s="27">
        <f>'[3]Details of Rev'!I542</f>
        <v>147260261737</v>
      </c>
      <c r="C54" s="79">
        <f>B54/$B$64*100</f>
        <v>63.125254636109595</v>
      </c>
      <c r="D54" s="36">
        <f>B54/12*8</f>
        <v>98173507824.666672</v>
      </c>
      <c r="E54" s="27">
        <f>E46-E50</f>
        <v>78881261981.879974</v>
      </c>
      <c r="F54" s="16">
        <f>E54/D54*100</f>
        <v>80.348827020379304</v>
      </c>
      <c r="G54" s="27">
        <f>G46-G50</f>
        <v>170222297344.43726</v>
      </c>
      <c r="H54" s="22">
        <f>G54/$G$64*100</f>
        <v>76.223179386339467</v>
      </c>
      <c r="I54" s="1"/>
      <c r="J54" s="96"/>
      <c r="K54" s="98"/>
    </row>
    <row r="55" spans="1:24" ht="87.75" customHeight="1" x14ac:dyDescent="0.35">
      <c r="A55" s="99" t="s">
        <v>47</v>
      </c>
      <c r="B55" s="27"/>
      <c r="C55" s="79"/>
      <c r="D55" s="79"/>
      <c r="E55" s="27">
        <v>32730293857.540001</v>
      </c>
      <c r="F55" s="16"/>
      <c r="G55" s="27"/>
      <c r="H55" s="22"/>
      <c r="I55" s="1"/>
      <c r="J55" s="96"/>
      <c r="K55" s="98"/>
    </row>
    <row r="56" spans="1:24" ht="33" customHeight="1" x14ac:dyDescent="0.4">
      <c r="A56" s="100" t="s">
        <v>48</v>
      </c>
      <c r="B56" s="39">
        <f>SUM(B54:B55)</f>
        <v>147260261737</v>
      </c>
      <c r="C56" s="72">
        <f>SUM(C54:C55)</f>
        <v>63.125254636109595</v>
      </c>
      <c r="D56" s="39">
        <f>SUM(D54:D55)</f>
        <v>98173507824.666672</v>
      </c>
      <c r="E56" s="39">
        <f>SUM(E54:E55)</f>
        <v>111611555839.41998</v>
      </c>
      <c r="F56" s="16">
        <f>E56/D56*100</f>
        <v>113.68805934769392</v>
      </c>
      <c r="G56" s="39">
        <f>SUM(G54:G55)</f>
        <v>170222297344.43726</v>
      </c>
      <c r="H56" s="72">
        <f>SUM(H54:H55)</f>
        <v>76.223179386339467</v>
      </c>
      <c r="I56" s="1"/>
      <c r="J56" s="96"/>
      <c r="K56" s="12"/>
    </row>
    <row r="57" spans="1:24" ht="31.5" customHeight="1" x14ac:dyDescent="0.35">
      <c r="A57" s="99" t="s">
        <v>49</v>
      </c>
      <c r="B57" s="101"/>
      <c r="C57" s="79"/>
      <c r="D57" s="79"/>
      <c r="E57" s="66"/>
      <c r="F57" s="16"/>
      <c r="G57" s="66"/>
      <c r="H57" s="67"/>
      <c r="I57" s="1"/>
      <c r="J57" s="96"/>
      <c r="K57" s="98"/>
    </row>
    <row r="58" spans="1:24" ht="31.5" customHeight="1" x14ac:dyDescent="0.35">
      <c r="A58" s="99" t="s">
        <v>50</v>
      </c>
      <c r="B58" s="101"/>
      <c r="C58" s="79"/>
      <c r="D58" s="79"/>
      <c r="E58" s="66"/>
      <c r="F58" s="16"/>
      <c r="G58" s="66"/>
      <c r="H58" s="67"/>
      <c r="I58" s="1"/>
      <c r="J58" s="96"/>
      <c r="K58" s="98"/>
    </row>
    <row r="59" spans="1:24" ht="31.5" customHeight="1" x14ac:dyDescent="0.4">
      <c r="A59" s="13" t="s">
        <v>51</v>
      </c>
      <c r="B59" s="101"/>
      <c r="C59" s="79"/>
      <c r="D59" s="79"/>
      <c r="E59" s="66"/>
      <c r="F59" s="16"/>
      <c r="G59" s="22">
        <f>SUM(G57:G58)</f>
        <v>0</v>
      </c>
      <c r="H59" s="67"/>
      <c r="I59" s="1"/>
      <c r="J59" s="96"/>
      <c r="K59" s="98"/>
    </row>
    <row r="60" spans="1:24" ht="31.5" customHeight="1" x14ac:dyDescent="0.35">
      <c r="A60" s="99" t="s">
        <v>52</v>
      </c>
      <c r="B60" s="101"/>
      <c r="C60" s="79"/>
      <c r="D60" s="79"/>
      <c r="E60" s="66"/>
      <c r="F60" s="16"/>
      <c r="G60" s="22"/>
      <c r="H60" s="67"/>
      <c r="I60" s="1"/>
      <c r="J60" s="96"/>
      <c r="K60" s="98"/>
    </row>
    <row r="61" spans="1:24" ht="31.5" customHeight="1" x14ac:dyDescent="0.35">
      <c r="A61" s="99" t="s">
        <v>53</v>
      </c>
      <c r="B61" s="101"/>
      <c r="C61" s="79"/>
      <c r="D61" s="79"/>
      <c r="E61" s="66"/>
      <c r="F61" s="16"/>
      <c r="G61" s="66"/>
      <c r="H61" s="67"/>
      <c r="I61" s="1"/>
      <c r="J61" s="96"/>
      <c r="K61" s="98"/>
    </row>
    <row r="62" spans="1:24" ht="31.5" customHeight="1" x14ac:dyDescent="0.4">
      <c r="A62" s="13" t="s">
        <v>54</v>
      </c>
      <c r="B62" s="102"/>
      <c r="C62" s="79"/>
      <c r="D62" s="79"/>
      <c r="E62" s="27"/>
      <c r="F62" s="16"/>
      <c r="G62" s="22">
        <f>SUM(G60:G61)</f>
        <v>0</v>
      </c>
      <c r="H62" s="16"/>
      <c r="I62" s="1"/>
      <c r="J62" s="96"/>
      <c r="K62" s="97"/>
    </row>
    <row r="63" spans="1:24" ht="31.5" customHeight="1" x14ac:dyDescent="0.35">
      <c r="A63" s="99" t="s">
        <v>21</v>
      </c>
      <c r="B63" s="21">
        <f>'[3]Details of Rev'!I562</f>
        <v>86022380188</v>
      </c>
      <c r="C63" s="79">
        <f>B63/$B$64*100</f>
        <v>36.874745363890412</v>
      </c>
      <c r="D63" s="36">
        <f>B63/12*8</f>
        <v>57348253458.666664</v>
      </c>
      <c r="E63" s="27">
        <v>41138671874.599998</v>
      </c>
      <c r="F63" s="16"/>
      <c r="G63" s="66">
        <f>46814017703+6284594307</f>
        <v>53098612010</v>
      </c>
      <c r="H63" s="22">
        <f>G63/$G$64*100</f>
        <v>23.776820613660536</v>
      </c>
      <c r="I63" s="1"/>
      <c r="J63" s="96"/>
      <c r="K63" s="70"/>
    </row>
    <row r="64" spans="1:24" ht="42.75" customHeight="1" x14ac:dyDescent="0.4">
      <c r="A64" s="13" t="s">
        <v>55</v>
      </c>
      <c r="B64" s="39">
        <f>SUM(B62,B59,B56,B63)</f>
        <v>233282641925</v>
      </c>
      <c r="C64" s="39">
        <f>SUM(C62,C59,C56,C63)</f>
        <v>100</v>
      </c>
      <c r="D64" s="39">
        <f>SUM(D62,D59,D56,D63)</f>
        <v>155521761283.33334</v>
      </c>
      <c r="E64" s="39">
        <f>SUM(E62,E59,E56,E63)</f>
        <v>152750227714.01999</v>
      </c>
      <c r="F64" s="73">
        <f>E64/D64*100</f>
        <v>98.217912691803875</v>
      </c>
      <c r="G64" s="39">
        <f>SUM(G62,G59,G56,G63)</f>
        <v>223320909354.43726</v>
      </c>
      <c r="H64" s="39">
        <f>SUM(H62,H59,H56,H63)</f>
        <v>100</v>
      </c>
      <c r="I64" s="31"/>
      <c r="J64" s="103"/>
      <c r="K64" s="104"/>
    </row>
    <row r="65" spans="1:24" s="49" customFormat="1" ht="105" customHeight="1" x14ac:dyDescent="0.4">
      <c r="A65" s="41"/>
      <c r="B65" s="94"/>
      <c r="C65" s="94"/>
      <c r="D65" s="43">
        <v>4</v>
      </c>
      <c r="E65" s="94"/>
      <c r="F65" s="57"/>
      <c r="G65" s="42"/>
      <c r="H65" s="59"/>
      <c r="I65" s="31"/>
      <c r="J65" s="105"/>
      <c r="K65" s="106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ht="87.75" customHeight="1" x14ac:dyDescent="0.4">
      <c r="A66" s="7" t="s">
        <v>2</v>
      </c>
      <c r="B66" s="7" t="s">
        <v>3</v>
      </c>
      <c r="C66" s="7" t="s">
        <v>4</v>
      </c>
      <c r="D66" s="7" t="s">
        <v>5</v>
      </c>
      <c r="E66" s="7" t="s">
        <v>6</v>
      </c>
      <c r="F66" s="7" t="s">
        <v>7</v>
      </c>
      <c r="G66" s="7" t="s">
        <v>2069</v>
      </c>
      <c r="H66" s="7" t="s">
        <v>9</v>
      </c>
      <c r="I66" s="107"/>
      <c r="J66" s="108"/>
      <c r="K66" s="109"/>
    </row>
    <row r="67" spans="1:24" ht="32.25" customHeight="1" x14ac:dyDescent="0.4">
      <c r="A67" s="13" t="s">
        <v>34</v>
      </c>
      <c r="B67" s="110"/>
      <c r="C67" s="110"/>
      <c r="D67" s="110"/>
      <c r="E67" s="110"/>
      <c r="F67" s="9"/>
      <c r="G67" s="110"/>
      <c r="H67" s="110"/>
      <c r="I67" s="1"/>
      <c r="J67" s="111"/>
      <c r="K67" s="112"/>
    </row>
    <row r="68" spans="1:24" ht="30" customHeight="1" x14ac:dyDescent="0.35">
      <c r="A68" s="17" t="s">
        <v>35</v>
      </c>
      <c r="B68" s="113">
        <v>19983414038</v>
      </c>
      <c r="C68" s="114">
        <f t="shared" ref="C68:C73" si="10">B68/$B$74*100</f>
        <v>8.5661812954024388</v>
      </c>
      <c r="D68" s="113">
        <f t="shared" ref="D68:D73" si="11">B68/12*8</f>
        <v>13322276025.333334</v>
      </c>
      <c r="E68" s="113">
        <v>2312367149.5799999</v>
      </c>
      <c r="F68" s="115">
        <f>E68/D68*100</f>
        <v>17.357147871601335</v>
      </c>
      <c r="G68" s="116">
        <f>'[4]Summary (3)'!$C$5</f>
        <v>12433527399.78824</v>
      </c>
      <c r="H68" s="110">
        <f t="shared" ref="H68:H73" si="12">G68/$G$74*100</f>
        <v>5.5675607965926766</v>
      </c>
      <c r="I68" s="1"/>
      <c r="J68" s="24"/>
      <c r="K68" s="25"/>
      <c r="M68" s="85"/>
      <c r="N68" s="117"/>
    </row>
    <row r="69" spans="1:24" ht="30" customHeight="1" x14ac:dyDescent="0.35">
      <c r="A69" s="17" t="s">
        <v>36</v>
      </c>
      <c r="B69" s="113">
        <v>131064846283</v>
      </c>
      <c r="C69" s="114">
        <f t="shared" si="10"/>
        <v>56.182854069844225</v>
      </c>
      <c r="D69" s="113">
        <f t="shared" si="11"/>
        <v>87376564188.666672</v>
      </c>
      <c r="E69" s="113">
        <v>107731419560.59</v>
      </c>
      <c r="F69" s="115">
        <f t="shared" ref="F69:F74" si="13">E69/D69*100</f>
        <v>123.29555477596072</v>
      </c>
      <c r="G69" s="116">
        <f>'[4]Summary (3)'!$C$7</f>
        <v>113215700294.59102</v>
      </c>
      <c r="H69" s="110">
        <f t="shared" si="12"/>
        <v>50.696417376269778</v>
      </c>
      <c r="I69" s="1"/>
      <c r="J69" s="24"/>
      <c r="K69" s="25"/>
      <c r="M69" s="118"/>
      <c r="N69" s="117"/>
    </row>
    <row r="70" spans="1:24" ht="30" customHeight="1" x14ac:dyDescent="0.35">
      <c r="A70" s="17" t="s">
        <v>37</v>
      </c>
      <c r="B70" s="113">
        <v>3445848935</v>
      </c>
      <c r="C70" s="114">
        <f t="shared" si="10"/>
        <v>1.4771133019437575</v>
      </c>
      <c r="D70" s="113">
        <f t="shared" si="11"/>
        <v>2297232623.3333335</v>
      </c>
      <c r="E70" s="113">
        <v>455449144.87</v>
      </c>
      <c r="F70" s="115">
        <f t="shared" si="13"/>
        <v>19.825991510129853</v>
      </c>
      <c r="G70" s="116">
        <f>'[4]Summary (3)'!$C$9</f>
        <v>1901703128</v>
      </c>
      <c r="H70" s="110">
        <f t="shared" si="12"/>
        <v>0.85155623515099899</v>
      </c>
      <c r="I70" s="1"/>
      <c r="J70" s="24"/>
      <c r="K70" s="25"/>
      <c r="M70" s="85"/>
      <c r="N70" s="117"/>
    </row>
    <row r="71" spans="1:24" ht="30" customHeight="1" x14ac:dyDescent="0.4">
      <c r="A71" s="17" t="s">
        <v>38</v>
      </c>
      <c r="B71" s="113">
        <v>31000000000</v>
      </c>
      <c r="C71" s="114">
        <f t="shared" si="10"/>
        <v>13.288601219616867</v>
      </c>
      <c r="D71" s="113">
        <f t="shared" si="11"/>
        <v>20666666666.666668</v>
      </c>
      <c r="E71" s="113">
        <v>22230385250.920002</v>
      </c>
      <c r="F71" s="115">
        <f t="shared" si="13"/>
        <v>107.5663802463871</v>
      </c>
      <c r="G71" s="116">
        <f>'[4]Summary (3)'!$C$11</f>
        <v>43714320016.07</v>
      </c>
      <c r="H71" s="110">
        <f t="shared" si="12"/>
        <v>19.574665060481788</v>
      </c>
      <c r="I71" s="1"/>
      <c r="J71" s="32"/>
      <c r="K71" s="25"/>
      <c r="N71" s="117"/>
    </row>
    <row r="72" spans="1:24" ht="30" customHeight="1" x14ac:dyDescent="0.35">
      <c r="A72" s="17" t="s">
        <v>39</v>
      </c>
      <c r="B72" s="113">
        <v>44788532669</v>
      </c>
      <c r="C72" s="114">
        <f t="shared" si="10"/>
        <v>19.199256446778172</v>
      </c>
      <c r="D72" s="113">
        <f t="shared" si="11"/>
        <v>29859021779.333332</v>
      </c>
      <c r="E72" s="113">
        <v>6721066511.0699997</v>
      </c>
      <c r="F72" s="115">
        <f t="shared" si="13"/>
        <v>22.509332558650428</v>
      </c>
      <c r="G72" s="116">
        <f>'[4]Summary (3)'!$C$13</f>
        <v>49055658515.562759</v>
      </c>
      <c r="H72" s="110">
        <f t="shared" si="12"/>
        <v>21.966442218717152</v>
      </c>
      <c r="I72" s="50"/>
      <c r="J72" s="51"/>
      <c r="K72" s="25"/>
      <c r="N72" s="117"/>
    </row>
    <row r="73" spans="1:24" ht="30" customHeight="1" x14ac:dyDescent="0.4">
      <c r="A73" s="17" t="s">
        <v>40</v>
      </c>
      <c r="B73" s="113">
        <v>3000000000</v>
      </c>
      <c r="C73" s="114">
        <f t="shared" si="10"/>
        <v>1.2859936664145355</v>
      </c>
      <c r="D73" s="113">
        <f t="shared" si="11"/>
        <v>2000000000</v>
      </c>
      <c r="E73" s="113">
        <v>0</v>
      </c>
      <c r="F73" s="115">
        <f t="shared" si="13"/>
        <v>0</v>
      </c>
      <c r="G73" s="113">
        <f>[5]Summary!$B$40</f>
        <v>3000000000</v>
      </c>
      <c r="H73" s="110">
        <f t="shared" si="12"/>
        <v>1.3433583127876081</v>
      </c>
      <c r="I73" s="31"/>
      <c r="J73" s="32"/>
      <c r="K73" s="33"/>
      <c r="M73" s="119"/>
      <c r="N73" s="117"/>
    </row>
    <row r="74" spans="1:24" ht="34.5" customHeight="1" x14ac:dyDescent="0.4">
      <c r="A74" s="13" t="s">
        <v>34</v>
      </c>
      <c r="B74" s="120">
        <f>SUM(B68:B73)</f>
        <v>233282641925</v>
      </c>
      <c r="C74" s="120">
        <f>SUM(C68:C73)</f>
        <v>100.00000000000001</v>
      </c>
      <c r="D74" s="120">
        <f>SUM(D68:D73)</f>
        <v>155521761283.33334</v>
      </c>
      <c r="E74" s="120">
        <f>SUM(E68:E73)</f>
        <v>139450687617.03</v>
      </c>
      <c r="F74" s="121">
        <f t="shared" si="13"/>
        <v>89.666350526326227</v>
      </c>
      <c r="G74" s="120">
        <f>SUM(G68:G73)</f>
        <v>223320909354.01202</v>
      </c>
      <c r="H74" s="122">
        <f>SUM(H68:H73)</f>
        <v>100</v>
      </c>
      <c r="I74" s="31"/>
      <c r="J74" s="76"/>
      <c r="K74" s="33"/>
      <c r="M74" s="119"/>
      <c r="N74" s="117"/>
    </row>
    <row r="75" spans="1:24" ht="108" customHeight="1" x14ac:dyDescent="0.4">
      <c r="A75" s="41"/>
      <c r="B75" s="123"/>
      <c r="C75" s="123"/>
      <c r="D75" s="43">
        <v>5</v>
      </c>
      <c r="E75" s="123"/>
      <c r="F75" s="124"/>
      <c r="G75" s="123"/>
      <c r="H75" s="125"/>
      <c r="I75" s="31"/>
      <c r="J75" s="32"/>
      <c r="K75" s="33"/>
      <c r="M75" s="119"/>
      <c r="N75" s="117"/>
    </row>
    <row r="76" spans="1:24" ht="34.5" customHeight="1" x14ac:dyDescent="0.4">
      <c r="A76" s="41"/>
      <c r="B76" s="126"/>
      <c r="C76" s="126"/>
      <c r="D76" s="127"/>
      <c r="E76" s="123"/>
      <c r="F76" s="124"/>
      <c r="G76" s="123"/>
      <c r="H76" s="125"/>
      <c r="I76" s="31"/>
      <c r="J76" s="32"/>
      <c r="K76" s="33"/>
      <c r="M76" s="119"/>
      <c r="N76" s="117"/>
    </row>
    <row r="77" spans="1:24" ht="31.5" customHeight="1" x14ac:dyDescent="0.4">
      <c r="A77" s="128"/>
      <c r="B77" s="123"/>
      <c r="C77" s="123"/>
      <c r="D77" s="127"/>
      <c r="E77" s="129"/>
      <c r="F77" s="124"/>
      <c r="G77" s="129"/>
      <c r="H77" s="130"/>
      <c r="I77" s="31"/>
      <c r="J77" s="32"/>
      <c r="K77" s="33"/>
      <c r="M77" s="119"/>
      <c r="N77" s="117"/>
    </row>
    <row r="78" spans="1:24" ht="24.95" customHeight="1" x14ac:dyDescent="0.35">
      <c r="A78" s="131"/>
      <c r="B78" s="132"/>
      <c r="C78" s="132"/>
      <c r="D78" s="126"/>
      <c r="E78" s="133"/>
      <c r="F78" s="134"/>
      <c r="G78" s="135"/>
      <c r="H78" s="132"/>
      <c r="I78" s="1"/>
      <c r="M78" s="136"/>
      <c r="N78" s="117"/>
    </row>
    <row r="79" spans="1:24" ht="24.95" customHeight="1" x14ac:dyDescent="0.35">
      <c r="A79" s="131"/>
      <c r="B79" s="132"/>
      <c r="C79" s="132"/>
      <c r="D79" s="132"/>
      <c r="E79" s="137"/>
      <c r="F79" s="134"/>
      <c r="G79" s="135"/>
      <c r="H79" s="132"/>
      <c r="I79" s="1"/>
    </row>
    <row r="80" spans="1:24" ht="24.95" customHeight="1" x14ac:dyDescent="0.35">
      <c r="A80" s="131"/>
      <c r="B80" s="132"/>
      <c r="C80" s="132"/>
      <c r="D80" s="132"/>
      <c r="E80" s="137"/>
      <c r="F80" s="134"/>
      <c r="G80" s="132"/>
      <c r="H80" s="132"/>
      <c r="I80" s="1"/>
      <c r="M80" s="139"/>
    </row>
    <row r="81" spans="1:9" ht="24.95" customHeight="1" x14ac:dyDescent="0.4">
      <c r="A81" s="131"/>
      <c r="B81" s="132"/>
      <c r="C81" s="132"/>
      <c r="D81" s="132"/>
      <c r="E81" s="129"/>
      <c r="F81" s="134"/>
      <c r="G81" s="132"/>
      <c r="H81" s="132"/>
      <c r="I81" s="1"/>
    </row>
    <row r="82" spans="1:9" ht="24.95" customHeight="1" x14ac:dyDescent="0.35">
      <c r="A82" s="131"/>
      <c r="B82" s="132"/>
      <c r="C82" s="132"/>
      <c r="D82" s="132"/>
      <c r="E82" s="137"/>
      <c r="F82" s="134"/>
      <c r="G82" s="132"/>
      <c r="H82" s="132"/>
      <c r="I82" s="1"/>
    </row>
    <row r="83" spans="1:9" ht="24.95" customHeight="1" x14ac:dyDescent="0.35">
      <c r="A83" s="131"/>
      <c r="B83" s="132"/>
      <c r="C83" s="132"/>
      <c r="D83" s="132"/>
      <c r="E83" s="137"/>
      <c r="F83" s="134"/>
      <c r="G83" s="132"/>
      <c r="H83" s="132"/>
      <c r="I83" s="1"/>
    </row>
    <row r="84" spans="1:9" ht="24.95" customHeight="1" x14ac:dyDescent="0.35">
      <c r="A84" s="131"/>
      <c r="B84" s="140"/>
      <c r="C84" s="140"/>
      <c r="D84" s="140"/>
      <c r="E84" s="138"/>
      <c r="F84" s="134"/>
      <c r="H84" s="131"/>
      <c r="I84" s="1"/>
    </row>
    <row r="85" spans="1:9" x14ac:dyDescent="0.35">
      <c r="A85" s="132"/>
      <c r="B85" s="142"/>
      <c r="C85" s="142"/>
      <c r="D85" s="142"/>
      <c r="E85" s="143"/>
      <c r="F85" s="134"/>
      <c r="G85" s="144"/>
      <c r="H85" s="144"/>
      <c r="I85" s="1"/>
    </row>
    <row r="86" spans="1:9" ht="27.75" x14ac:dyDescent="0.4">
      <c r="A86" s="132"/>
      <c r="B86" s="142"/>
      <c r="C86" s="142"/>
      <c r="D86" s="142"/>
      <c r="E86" s="143"/>
      <c r="F86" s="134"/>
      <c r="G86" s="145"/>
      <c r="H86" s="144"/>
      <c r="I86" s="1"/>
    </row>
    <row r="87" spans="1:9" ht="27.75" x14ac:dyDescent="0.4">
      <c r="A87" s="132"/>
      <c r="B87" s="142"/>
      <c r="C87" s="142"/>
      <c r="D87" s="142"/>
      <c r="E87" s="143"/>
      <c r="F87" s="134"/>
      <c r="G87" s="146"/>
      <c r="H87" s="144"/>
      <c r="I87" s="1"/>
    </row>
    <row r="88" spans="1:9" x14ac:dyDescent="0.35">
      <c r="A88" s="132"/>
      <c r="B88" s="142"/>
      <c r="C88" s="142"/>
      <c r="D88" s="142"/>
      <c r="E88" s="143"/>
      <c r="F88" s="134"/>
      <c r="G88" s="144"/>
      <c r="H88" s="142"/>
      <c r="I88" s="1"/>
    </row>
    <row r="89" spans="1:9" x14ac:dyDescent="0.35">
      <c r="A89" s="132"/>
      <c r="B89" s="142"/>
      <c r="C89" s="142"/>
      <c r="D89" s="142"/>
      <c r="E89" s="143"/>
      <c r="F89" s="134"/>
      <c r="G89" s="147"/>
      <c r="H89" s="142"/>
      <c r="I89" s="1"/>
    </row>
    <row r="90" spans="1:9" x14ac:dyDescent="0.35">
      <c r="A90" s="132"/>
      <c r="B90" s="142"/>
      <c r="C90" s="142"/>
      <c r="D90" s="142"/>
      <c r="E90" s="143"/>
      <c r="F90" s="134"/>
      <c r="G90" s="144"/>
      <c r="H90" s="142"/>
      <c r="I90" s="1"/>
    </row>
    <row r="91" spans="1:9" x14ac:dyDescent="0.35">
      <c r="A91" s="132"/>
      <c r="B91" s="142"/>
      <c r="C91" s="142"/>
      <c r="D91" s="142"/>
      <c r="E91" s="142"/>
      <c r="F91" s="134"/>
      <c r="G91" s="147"/>
      <c r="H91" s="142"/>
      <c r="I91" s="1"/>
    </row>
    <row r="92" spans="1:9" x14ac:dyDescent="0.35">
      <c r="G92" s="150"/>
    </row>
    <row r="93" spans="1:9" x14ac:dyDescent="0.35">
      <c r="G93" s="150"/>
    </row>
    <row r="94" spans="1:9" x14ac:dyDescent="0.35">
      <c r="G94" s="152"/>
    </row>
    <row r="95" spans="1:9" x14ac:dyDescent="0.35">
      <c r="G95" s="152"/>
    </row>
    <row r="96" spans="1:9" x14ac:dyDescent="0.35">
      <c r="G96" s="150"/>
    </row>
    <row r="97" spans="7:7" x14ac:dyDescent="0.35">
      <c r="G97" s="150"/>
    </row>
    <row r="98" spans="7:7" x14ac:dyDescent="0.35">
      <c r="G98" s="150"/>
    </row>
    <row r="99" spans="7:7" x14ac:dyDescent="0.35">
      <c r="G99" s="150"/>
    </row>
    <row r="100" spans="7:7" x14ac:dyDescent="0.35">
      <c r="G100" s="150"/>
    </row>
    <row r="101" spans="7:7" x14ac:dyDescent="0.35">
      <c r="G101" s="150"/>
    </row>
    <row r="102" spans="7:7" x14ac:dyDescent="0.35">
      <c r="G102" s="150"/>
    </row>
    <row r="103" spans="7:7" x14ac:dyDescent="0.35">
      <c r="G103" s="150"/>
    </row>
    <row r="104" spans="7:7" x14ac:dyDescent="0.35">
      <c r="G104" s="150"/>
    </row>
  </sheetData>
  <mergeCells count="2">
    <mergeCell ref="A1:H1"/>
    <mergeCell ref="A2:H2"/>
  </mergeCells>
  <pageMargins left="0.85" right="0.43" top="1" bottom="0.5" header="0.5" footer="0.5"/>
  <pageSetup paperSize="9" scale="50" orientation="landscape" r:id="rId1"/>
  <headerFooter scaleWithDoc="0" alignWithMargins="0"/>
  <rowBreaks count="4" manualBreakCount="4">
    <brk id="26" max="7" man="1"/>
    <brk id="40" max="7" man="1"/>
    <brk id="51" max="7" man="1"/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"/>
  <sheetViews>
    <sheetView tabSelected="1" view="pageBreakPreview" topLeftCell="A2" zoomScaleSheetLayoutView="100" workbookViewId="0">
      <selection activeCell="J10" sqref="J10"/>
    </sheetView>
  </sheetViews>
  <sheetFormatPr defaultRowHeight="18" x14ac:dyDescent="0.25"/>
  <cols>
    <col min="1" max="1" width="92.28515625" style="620" customWidth="1"/>
    <col min="2" max="2" width="21.28515625" style="619" customWidth="1"/>
    <col min="3" max="3" width="16.7109375" style="619" customWidth="1"/>
    <col min="4" max="4" width="25.5703125" style="619" hidden="1" customWidth="1"/>
    <col min="5" max="5" width="20.85546875" style="619" hidden="1" customWidth="1"/>
    <col min="6" max="6" width="9.140625" style="619" hidden="1" customWidth="1"/>
    <col min="7" max="7" width="24.42578125" style="619" customWidth="1"/>
    <col min="8" max="8" width="17.140625" style="619" customWidth="1"/>
    <col min="9" max="10" width="9.140625" style="156"/>
  </cols>
  <sheetData>
    <row r="1" spans="1:12" ht="25.5" customHeight="1" x14ac:dyDescent="0.5">
      <c r="A1" s="964" t="s">
        <v>0</v>
      </c>
      <c r="B1" s="964"/>
      <c r="C1" s="964"/>
      <c r="D1" s="964"/>
      <c r="E1" s="964"/>
      <c r="F1" s="964"/>
      <c r="G1" s="964"/>
      <c r="H1" s="964"/>
      <c r="I1" s="153"/>
      <c r="J1" s="153"/>
      <c r="K1" s="154"/>
      <c r="L1" s="154"/>
    </row>
    <row r="2" spans="1:12" ht="24.75" customHeight="1" x14ac:dyDescent="0.5">
      <c r="A2" s="964" t="s">
        <v>2076</v>
      </c>
      <c r="B2" s="964"/>
      <c r="C2" s="964"/>
      <c r="D2" s="964"/>
      <c r="E2" s="964"/>
      <c r="F2" s="964"/>
      <c r="G2" s="964"/>
      <c r="H2" s="964"/>
      <c r="I2" s="153"/>
      <c r="J2" s="153"/>
      <c r="K2" s="154"/>
      <c r="L2" s="154"/>
    </row>
    <row r="3" spans="1:12" ht="58.5" customHeight="1" x14ac:dyDescent="0.25">
      <c r="A3" s="597" t="s">
        <v>2</v>
      </c>
      <c r="B3" s="597" t="s">
        <v>56</v>
      </c>
      <c r="C3" s="155" t="s">
        <v>57</v>
      </c>
      <c r="D3" s="155" t="s">
        <v>58</v>
      </c>
      <c r="E3" s="155" t="s">
        <v>59</v>
      </c>
      <c r="F3" s="155" t="s">
        <v>7</v>
      </c>
      <c r="G3" s="155" t="s">
        <v>2070</v>
      </c>
      <c r="H3" s="155" t="s">
        <v>60</v>
      </c>
    </row>
    <row r="4" spans="1:12" ht="25.5" customHeight="1" x14ac:dyDescent="0.25">
      <c r="A4" s="598" t="s">
        <v>61</v>
      </c>
      <c r="B4" s="599"/>
      <c r="C4" s="599"/>
      <c r="D4" s="599"/>
      <c r="E4" s="600"/>
      <c r="F4" s="600"/>
      <c r="G4" s="601"/>
      <c r="H4" s="600"/>
    </row>
    <row r="5" spans="1:12" ht="21" customHeight="1" x14ac:dyDescent="0.3">
      <c r="A5" s="157" t="s">
        <v>62</v>
      </c>
      <c r="B5" s="158">
        <v>0</v>
      </c>
      <c r="C5" s="159">
        <f>B5/$B$9*100</f>
        <v>0</v>
      </c>
      <c r="D5" s="158"/>
      <c r="E5" s="160"/>
      <c r="F5" s="161"/>
      <c r="G5" s="162">
        <f>'[3]Details of Rev'!J6</f>
        <v>46429109763</v>
      </c>
      <c r="H5" s="163">
        <f>G5/$G$9*100</f>
        <v>17.109537744631133</v>
      </c>
    </row>
    <row r="6" spans="1:12" ht="21" customHeight="1" x14ac:dyDescent="0.25">
      <c r="A6" s="157" t="s">
        <v>63</v>
      </c>
      <c r="B6" s="164">
        <f>'[3]Details of Rev'!I7</f>
        <v>217894748193</v>
      </c>
      <c r="C6" s="159">
        <f>B6/$B$9*100</f>
        <v>94.348815829365904</v>
      </c>
      <c r="D6" s="164"/>
      <c r="E6" s="160"/>
      <c r="F6" s="160"/>
      <c r="G6" s="165">
        <f>'[3]Details of Rev'!J7</f>
        <v>186512295894</v>
      </c>
      <c r="H6" s="163">
        <f>G6/$G$9*100</f>
        <v>68.731431266409203</v>
      </c>
    </row>
    <row r="7" spans="1:12" ht="21" customHeight="1" x14ac:dyDescent="0.25">
      <c r="A7" s="157" t="s">
        <v>64</v>
      </c>
      <c r="B7" s="166">
        <f>'[3]Details of Rev'!I8</f>
        <v>13051179721</v>
      </c>
      <c r="C7" s="159">
        <f>B7/$B$9*100</f>
        <v>5.6511841706340968</v>
      </c>
      <c r="D7" s="166"/>
      <c r="E7" s="160"/>
      <c r="F7" s="160"/>
      <c r="G7" s="165">
        <f>'[3]Details of Rev'!J8</f>
        <v>22958761951</v>
      </c>
      <c r="H7" s="163">
        <f>G7/$G$9*100</f>
        <v>8.4605069142134255</v>
      </c>
    </row>
    <row r="8" spans="1:12" ht="21" customHeight="1" x14ac:dyDescent="0.25">
      <c r="A8" s="157" t="s">
        <v>65</v>
      </c>
      <c r="B8" s="167">
        <f>'[3]Details of Rev'!I9</f>
        <v>0</v>
      </c>
      <c r="C8" s="159">
        <f>B8/$B$9*100</f>
        <v>0</v>
      </c>
      <c r="D8" s="167"/>
      <c r="E8" s="168"/>
      <c r="F8" s="168"/>
      <c r="G8" s="165">
        <f>'[3]Details of Rev'!J9</f>
        <v>15463737460.5</v>
      </c>
      <c r="H8" s="163">
        <f>G8/$G$9*100</f>
        <v>5.6985240747462385</v>
      </c>
    </row>
    <row r="9" spans="1:12" ht="38.25" customHeight="1" x14ac:dyDescent="0.25">
      <c r="A9" s="602" t="s">
        <v>66</v>
      </c>
      <c r="B9" s="603">
        <f>SUM(B5:B8)</f>
        <v>230945927914</v>
      </c>
      <c r="C9" s="604">
        <f>B9/$B$25*100</f>
        <v>75.880122984409752</v>
      </c>
      <c r="D9" s="167"/>
      <c r="E9" s="168"/>
      <c r="F9" s="168"/>
      <c r="G9" s="603">
        <f>SUM(G5:G8)</f>
        <v>271363905068.5</v>
      </c>
      <c r="H9" s="604">
        <f>G9/$G$25*100</f>
        <v>79.258851535900831</v>
      </c>
    </row>
    <row r="10" spans="1:12" ht="25.5" customHeight="1" x14ac:dyDescent="0.25">
      <c r="A10" s="605" t="s">
        <v>67</v>
      </c>
      <c r="B10" s="169"/>
      <c r="C10" s="170"/>
      <c r="D10" s="169"/>
      <c r="E10" s="169"/>
      <c r="F10" s="169"/>
      <c r="G10" s="169"/>
      <c r="H10" s="171"/>
    </row>
    <row r="11" spans="1:12" ht="21" customHeight="1" x14ac:dyDescent="0.25">
      <c r="A11" s="606" t="s">
        <v>68</v>
      </c>
      <c r="B11" s="607">
        <v>63862426571</v>
      </c>
      <c r="C11" s="608">
        <f>B11/$B$24*100</f>
        <v>86.993748423345565</v>
      </c>
      <c r="D11" s="172"/>
      <c r="E11" s="172"/>
      <c r="F11" s="609"/>
      <c r="G11" s="174">
        <f>'[3]Details of Rev'!J33</f>
        <v>64368010439</v>
      </c>
      <c r="H11" s="610">
        <f>G11/$G$24*100</f>
        <v>90.642730627833132</v>
      </c>
    </row>
    <row r="12" spans="1:12" ht="21" customHeight="1" x14ac:dyDescent="0.25">
      <c r="A12" s="606" t="s">
        <v>69</v>
      </c>
      <c r="B12" s="607">
        <v>691918876</v>
      </c>
      <c r="C12" s="608">
        <f t="shared" ref="C12:C23" si="0">B12/$B$24*100</f>
        <v>0.94253569524465219</v>
      </c>
      <c r="D12" s="172"/>
      <c r="E12" s="172"/>
      <c r="F12" s="172"/>
      <c r="G12" s="174">
        <f>'[3]Details of Rev'!J119</f>
        <v>848226730.64679098</v>
      </c>
      <c r="H12" s="610">
        <f t="shared" ref="H12:H23" si="1">G12/$G$24*100</f>
        <v>1.1944689067282459</v>
      </c>
    </row>
    <row r="13" spans="1:12" ht="21" customHeight="1" x14ac:dyDescent="0.25">
      <c r="A13" s="611" t="s">
        <v>70</v>
      </c>
      <c r="B13" s="607">
        <v>6492807407</v>
      </c>
      <c r="C13" s="608">
        <f t="shared" si="0"/>
        <v>8.8445379302621774</v>
      </c>
      <c r="D13" s="172"/>
      <c r="E13" s="172"/>
      <c r="F13" s="173"/>
      <c r="G13" s="174">
        <f>'[3]Details of Rev'!J318</f>
        <v>1550593241.9427674</v>
      </c>
      <c r="H13" s="610">
        <f t="shared" si="1"/>
        <v>2.1835381361670727</v>
      </c>
    </row>
    <row r="14" spans="1:12" ht="21" customHeight="1" x14ac:dyDescent="0.25">
      <c r="A14" s="611" t="s">
        <v>71</v>
      </c>
      <c r="B14" s="607">
        <v>340896801</v>
      </c>
      <c r="C14" s="608">
        <f t="shared" si="0"/>
        <v>0.46437149567980973</v>
      </c>
      <c r="D14" s="612"/>
      <c r="E14" s="613"/>
      <c r="F14" s="175"/>
      <c r="G14" s="174">
        <f>'[3]Details of Rev'!J333</f>
        <v>117525814.55120634</v>
      </c>
      <c r="H14" s="610">
        <f t="shared" si="1"/>
        <v>0.16549930124494253</v>
      </c>
    </row>
    <row r="15" spans="1:12" ht="21" customHeight="1" x14ac:dyDescent="0.25">
      <c r="A15" s="611" t="s">
        <v>72</v>
      </c>
      <c r="B15" s="607">
        <v>291148868</v>
      </c>
      <c r="C15" s="608">
        <f t="shared" si="0"/>
        <v>0.39660458796339215</v>
      </c>
      <c r="D15" s="612"/>
      <c r="E15" s="613"/>
      <c r="F15" s="175"/>
      <c r="G15" s="174">
        <f>'[3]Details of Rev'!J364</f>
        <v>31612027.31249357</v>
      </c>
      <c r="H15" s="610">
        <f t="shared" si="1"/>
        <v>4.4515908705948411E-2</v>
      </c>
    </row>
    <row r="16" spans="1:12" ht="21" customHeight="1" x14ac:dyDescent="0.25">
      <c r="A16" s="611" t="s">
        <v>73</v>
      </c>
      <c r="B16" s="607">
        <v>26500000</v>
      </c>
      <c r="C16" s="608">
        <f t="shared" si="0"/>
        <v>3.6098445627581466E-2</v>
      </c>
      <c r="D16" s="612"/>
      <c r="E16" s="613"/>
      <c r="F16" s="175"/>
      <c r="G16" s="174">
        <f>'[3]Details of Rev'!J414</f>
        <v>605807964.1790055</v>
      </c>
      <c r="H16" s="610">
        <f t="shared" si="1"/>
        <v>0.85309593592786948</v>
      </c>
    </row>
    <row r="17" spans="1:8" ht="21" customHeight="1" x14ac:dyDescent="0.25">
      <c r="A17" s="606" t="s">
        <v>74</v>
      </c>
      <c r="B17" s="607">
        <v>11429586</v>
      </c>
      <c r="C17" s="608">
        <f t="shared" si="0"/>
        <v>1.5569444859123257E-2</v>
      </c>
      <c r="D17" s="612"/>
      <c r="E17" s="613"/>
      <c r="F17" s="175"/>
      <c r="G17" s="174">
        <f>'[3]Details of Rev'!J437</f>
        <v>9771908.0986321829</v>
      </c>
      <c r="H17" s="610">
        <f t="shared" si="1"/>
        <v>1.3760755186672486E-2</v>
      </c>
    </row>
    <row r="18" spans="1:8" ht="21" customHeight="1" x14ac:dyDescent="0.25">
      <c r="A18" s="606" t="s">
        <v>75</v>
      </c>
      <c r="B18" s="607">
        <v>1034517445</v>
      </c>
      <c r="C18" s="608">
        <f t="shared" si="0"/>
        <v>1.4092253486459245</v>
      </c>
      <c r="D18" s="612"/>
      <c r="E18" s="613"/>
      <c r="F18" s="175"/>
      <c r="G18" s="174">
        <f>'[3]Details of Rev'!J458</f>
        <v>67274616.64552176</v>
      </c>
      <c r="H18" s="610">
        <f t="shared" si="1"/>
        <v>9.4735799865519402E-2</v>
      </c>
    </row>
    <row r="19" spans="1:8" ht="21" customHeight="1" x14ac:dyDescent="0.25">
      <c r="A19" s="611" t="s">
        <v>76</v>
      </c>
      <c r="B19" s="607">
        <v>331865147</v>
      </c>
      <c r="C19" s="608">
        <f t="shared" si="0"/>
        <v>0.45206852696863514</v>
      </c>
      <c r="D19" s="612"/>
      <c r="E19" s="613"/>
      <c r="F19" s="175"/>
      <c r="G19" s="174">
        <f>'[3]Details of Rev'!J473</f>
        <v>794584522.66974986</v>
      </c>
      <c r="H19" s="610">
        <f t="shared" si="1"/>
        <v>1.1189302008589228</v>
      </c>
    </row>
    <row r="20" spans="1:8" ht="21" customHeight="1" x14ac:dyDescent="0.25">
      <c r="A20" s="606" t="s">
        <v>77</v>
      </c>
      <c r="B20" s="607">
        <v>182727718</v>
      </c>
      <c r="C20" s="608">
        <f t="shared" si="0"/>
        <v>0.248912701617926</v>
      </c>
      <c r="D20" s="612"/>
      <c r="E20" s="613"/>
      <c r="F20" s="175"/>
      <c r="G20" s="174">
        <f>'[3]Details of Rev'!J477</f>
        <v>9475790.5787415244</v>
      </c>
      <c r="H20" s="610">
        <f t="shared" si="1"/>
        <v>1.3343763882970979E-2</v>
      </c>
    </row>
    <row r="21" spans="1:8" ht="21" customHeight="1" x14ac:dyDescent="0.25">
      <c r="A21" s="606" t="s">
        <v>78</v>
      </c>
      <c r="B21" s="607">
        <v>81866</v>
      </c>
      <c r="C21" s="162">
        <f t="shared" si="0"/>
        <v>1.1151831508481449E-4</v>
      </c>
      <c r="D21" s="612"/>
      <c r="E21" s="613"/>
      <c r="F21" s="175"/>
      <c r="G21" s="162">
        <f>'[3]Details of Rev'!J482</f>
        <v>0</v>
      </c>
      <c r="H21" s="162">
        <f t="shared" si="1"/>
        <v>0</v>
      </c>
    </row>
    <row r="22" spans="1:8" ht="21" customHeight="1" x14ac:dyDescent="0.25">
      <c r="A22" s="606" t="s">
        <v>79</v>
      </c>
      <c r="B22" s="162">
        <v>0</v>
      </c>
      <c r="C22" s="608">
        <f t="shared" si="0"/>
        <v>0</v>
      </c>
      <c r="D22" s="612"/>
      <c r="E22" s="613"/>
      <c r="F22" s="175"/>
      <c r="G22" s="174">
        <f>'[3]Details of Rev'!J517</f>
        <v>33432994.637908775</v>
      </c>
      <c r="H22" s="610">
        <f t="shared" si="1"/>
        <v>4.7080186359304145E-2</v>
      </c>
    </row>
    <row r="23" spans="1:8" ht="21" customHeight="1" x14ac:dyDescent="0.25">
      <c r="A23" s="606" t="s">
        <v>80</v>
      </c>
      <c r="B23" s="607">
        <v>144042791</v>
      </c>
      <c r="C23" s="608">
        <f t="shared" si="0"/>
        <v>0.19621588147013513</v>
      </c>
      <c r="D23" s="612"/>
      <c r="E23" s="613"/>
      <c r="F23" s="175"/>
      <c r="G23" s="162">
        <f>'[3]Details of Rev'!J536</f>
        <v>2576560540.2344403</v>
      </c>
      <c r="H23" s="610">
        <f t="shared" si="1"/>
        <v>3.628300477239403</v>
      </c>
    </row>
    <row r="24" spans="1:8" ht="25.5" customHeight="1" x14ac:dyDescent="0.25">
      <c r="A24" s="605" t="s">
        <v>81</v>
      </c>
      <c r="B24" s="614">
        <f>SUM(B11:B23)</f>
        <v>73410363076</v>
      </c>
      <c r="C24" s="604">
        <f>B24/$B$25*100</f>
        <v>24.119877015590255</v>
      </c>
      <c r="D24" s="612"/>
      <c r="E24" s="613"/>
      <c r="F24" s="175"/>
      <c r="G24" s="614">
        <f>SUM(G11:G23)</f>
        <v>71012876590.497253</v>
      </c>
      <c r="H24" s="604">
        <f>G24/$G$25*100</f>
        <v>20.741148464099162</v>
      </c>
    </row>
    <row r="25" spans="1:8" ht="25.5" customHeight="1" x14ac:dyDescent="0.25">
      <c r="A25" s="605" t="s">
        <v>82</v>
      </c>
      <c r="B25" s="614">
        <f>SUM(B9,B24)</f>
        <v>304356290990</v>
      </c>
      <c r="C25" s="614">
        <f>SUM(C9,C24)</f>
        <v>100</v>
      </c>
      <c r="D25" s="615"/>
      <c r="E25" s="616"/>
      <c r="F25" s="617"/>
      <c r="G25" s="614">
        <f>SUM(G9,G24)</f>
        <v>342376781658.99725</v>
      </c>
      <c r="H25" s="614">
        <f>SUM(H9,H24)</f>
        <v>100</v>
      </c>
    </row>
    <row r="26" spans="1:8" ht="51.75" customHeight="1" x14ac:dyDescent="0.25">
      <c r="A26" s="618">
        <v>6</v>
      </c>
      <c r="B26" s="618"/>
      <c r="E26" s="618"/>
      <c r="F26" s="618"/>
      <c r="G26" s="618"/>
      <c r="H26" s="618"/>
    </row>
    <row r="27" spans="1:8" ht="31.5" customHeight="1" x14ac:dyDescent="0.25">
      <c r="B27" s="618"/>
      <c r="C27" s="618"/>
      <c r="D27" s="618"/>
      <c r="E27" s="618"/>
      <c r="F27" s="618"/>
      <c r="G27" s="621"/>
      <c r="H27" s="618"/>
    </row>
    <row r="28" spans="1:8" ht="31.5" customHeight="1" x14ac:dyDescent="0.25">
      <c r="B28" s="618"/>
      <c r="C28" s="618"/>
      <c r="D28" s="618"/>
      <c r="E28" s="618"/>
      <c r="F28" s="618"/>
      <c r="G28" s="618"/>
      <c r="H28" s="618"/>
    </row>
    <row r="29" spans="1:8" ht="31.5" customHeight="1" x14ac:dyDescent="0.25"/>
    <row r="30" spans="1:8" ht="31.5" customHeight="1" x14ac:dyDescent="0.25"/>
    <row r="31" spans="1:8" ht="31.5" customHeight="1" x14ac:dyDescent="0.25"/>
    <row r="32" spans="1:8" ht="31.5" customHeight="1" x14ac:dyDescent="0.25"/>
    <row r="33" spans="1:8" x14ac:dyDescent="0.25">
      <c r="A33" s="622"/>
      <c r="B33" s="623"/>
      <c r="C33" s="623"/>
      <c r="D33" s="623"/>
      <c r="E33" s="624"/>
      <c r="F33" s="176"/>
      <c r="G33" s="176"/>
      <c r="H33" s="623"/>
    </row>
    <row r="34" spans="1:8" x14ac:dyDescent="0.25">
      <c r="A34" s="622"/>
      <c r="B34" s="623"/>
      <c r="C34" s="623"/>
      <c r="D34" s="623"/>
      <c r="E34" s="624"/>
      <c r="F34" s="176"/>
      <c r="G34" s="176"/>
      <c r="H34" s="623"/>
    </row>
    <row r="35" spans="1:8" x14ac:dyDescent="0.25">
      <c r="A35" s="625"/>
      <c r="B35" s="626"/>
      <c r="C35" s="626"/>
      <c r="D35" s="626"/>
      <c r="E35" s="627"/>
      <c r="F35" s="626"/>
      <c r="G35" s="180"/>
      <c r="H35" s="626"/>
    </row>
    <row r="36" spans="1:8" x14ac:dyDescent="0.25">
      <c r="A36" s="625"/>
      <c r="B36" s="626"/>
      <c r="C36" s="626"/>
      <c r="D36" s="626"/>
      <c r="E36" s="627"/>
      <c r="F36" s="626"/>
      <c r="G36" s="180"/>
      <c r="H36" s="626"/>
    </row>
    <row r="37" spans="1:8" ht="28.5" customHeight="1" x14ac:dyDescent="0.25">
      <c r="A37" s="625"/>
      <c r="B37" s="628"/>
      <c r="C37" s="628"/>
      <c r="D37" s="628"/>
      <c r="E37" s="628"/>
      <c r="F37" s="177"/>
      <c r="G37" s="177"/>
      <c r="H37" s="629"/>
    </row>
    <row r="38" spans="1:8" x14ac:dyDescent="0.25">
      <c r="A38" s="622"/>
      <c r="B38" s="178"/>
      <c r="C38" s="178"/>
      <c r="D38" s="178"/>
      <c r="E38" s="179"/>
      <c r="F38" s="176"/>
      <c r="G38" s="180"/>
      <c r="H38" s="176"/>
    </row>
    <row r="39" spans="1:8" x14ac:dyDescent="0.25">
      <c r="A39" s="622"/>
      <c r="B39" s="178"/>
      <c r="C39" s="178"/>
      <c r="D39" s="178"/>
      <c r="E39" s="179"/>
      <c r="F39" s="176"/>
      <c r="G39" s="180"/>
      <c r="H39" s="176"/>
    </row>
    <row r="40" spans="1:8" x14ac:dyDescent="0.25">
      <c r="A40" s="622"/>
      <c r="B40" s="178"/>
      <c r="C40" s="178"/>
      <c r="D40" s="178"/>
      <c r="E40" s="179"/>
      <c r="F40" s="176"/>
      <c r="G40" s="180"/>
      <c r="H40" s="176"/>
    </row>
    <row r="41" spans="1:8" x14ac:dyDescent="0.25">
      <c r="A41" s="622"/>
      <c r="B41" s="178"/>
      <c r="C41" s="178"/>
      <c r="D41" s="178"/>
      <c r="E41" s="179"/>
      <c r="F41" s="176"/>
      <c r="G41" s="180"/>
      <c r="H41" s="176"/>
    </row>
    <row r="42" spans="1:8" x14ac:dyDescent="0.25">
      <c r="A42" s="622"/>
      <c r="B42" s="178"/>
      <c r="C42" s="178"/>
      <c r="D42" s="178"/>
      <c r="E42" s="179"/>
      <c r="F42" s="176"/>
      <c r="G42" s="180"/>
      <c r="H42" s="176"/>
    </row>
    <row r="43" spans="1:8" x14ac:dyDescent="0.25">
      <c r="A43" s="622"/>
      <c r="B43" s="178"/>
      <c r="C43" s="178"/>
      <c r="D43" s="178"/>
      <c r="E43" s="179"/>
      <c r="F43" s="176"/>
      <c r="G43" s="180"/>
      <c r="H43" s="176"/>
    </row>
    <row r="44" spans="1:8" x14ac:dyDescent="0.25">
      <c r="A44" s="622"/>
      <c r="B44" s="178"/>
      <c r="C44" s="178"/>
      <c r="D44" s="178"/>
      <c r="E44" s="179"/>
      <c r="F44" s="180"/>
      <c r="G44" s="180"/>
      <c r="H44" s="176"/>
    </row>
    <row r="45" spans="1:8" x14ac:dyDescent="0.25">
      <c r="A45" s="625"/>
      <c r="B45" s="626"/>
      <c r="C45" s="626"/>
      <c r="D45" s="626"/>
      <c r="E45" s="627"/>
      <c r="F45" s="626"/>
      <c r="G45" s="180"/>
      <c r="H45" s="626"/>
    </row>
    <row r="46" spans="1:8" x14ac:dyDescent="0.25">
      <c r="A46" s="622"/>
      <c r="B46" s="630"/>
      <c r="C46" s="630"/>
      <c r="D46" s="630"/>
      <c r="E46" s="630"/>
      <c r="F46" s="630"/>
      <c r="G46" s="630"/>
      <c r="H46" s="630"/>
    </row>
    <row r="47" spans="1:8" x14ac:dyDescent="0.25">
      <c r="A47" s="622"/>
      <c r="B47" s="630"/>
      <c r="C47" s="630"/>
      <c r="D47" s="630"/>
      <c r="E47" s="630"/>
      <c r="F47" s="630"/>
      <c r="G47" s="630"/>
      <c r="H47" s="630"/>
    </row>
    <row r="48" spans="1:8" x14ac:dyDescent="0.25">
      <c r="A48" s="622"/>
      <c r="B48" s="630"/>
      <c r="C48" s="630"/>
      <c r="D48" s="630"/>
      <c r="E48" s="630"/>
      <c r="F48" s="630"/>
      <c r="G48" s="630"/>
      <c r="H48" s="630"/>
    </row>
    <row r="49" spans="1:8" x14ac:dyDescent="0.25">
      <c r="A49" s="622"/>
      <c r="B49" s="630"/>
      <c r="C49" s="630"/>
      <c r="D49" s="630"/>
      <c r="E49" s="630"/>
      <c r="F49" s="630"/>
      <c r="G49" s="630"/>
      <c r="H49" s="630"/>
    </row>
    <row r="50" spans="1:8" x14ac:dyDescent="0.25">
      <c r="A50" s="622"/>
      <c r="B50" s="630"/>
      <c r="C50" s="630"/>
      <c r="D50" s="630"/>
      <c r="E50" s="630"/>
      <c r="F50" s="630"/>
      <c r="G50" s="630"/>
      <c r="H50" s="630"/>
    </row>
    <row r="51" spans="1:8" x14ac:dyDescent="0.25">
      <c r="A51" s="622"/>
      <c r="B51" s="630"/>
      <c r="C51" s="630"/>
      <c r="D51" s="630"/>
      <c r="E51" s="630"/>
      <c r="F51" s="630"/>
      <c r="G51" s="630"/>
      <c r="H51" s="630"/>
    </row>
    <row r="52" spans="1:8" x14ac:dyDescent="0.25">
      <c r="A52" s="622"/>
      <c r="B52" s="630"/>
      <c r="C52" s="630"/>
      <c r="D52" s="630"/>
      <c r="E52" s="630"/>
      <c r="F52" s="630"/>
      <c r="G52" s="630"/>
      <c r="H52" s="630"/>
    </row>
    <row r="53" spans="1:8" x14ac:dyDescent="0.25">
      <c r="A53" s="622"/>
      <c r="B53" s="630"/>
      <c r="C53" s="630"/>
      <c r="D53" s="630"/>
      <c r="E53" s="630"/>
      <c r="F53" s="630"/>
      <c r="G53" s="630"/>
      <c r="H53" s="630"/>
    </row>
    <row r="54" spans="1:8" x14ac:dyDescent="0.25">
      <c r="A54" s="622"/>
      <c r="B54" s="630"/>
      <c r="C54" s="630"/>
      <c r="D54" s="630"/>
      <c r="E54" s="630"/>
      <c r="F54" s="630"/>
      <c r="G54" s="630"/>
      <c r="H54" s="630"/>
    </row>
  </sheetData>
  <mergeCells count="2">
    <mergeCell ref="A1:H1"/>
    <mergeCell ref="A2:H2"/>
  </mergeCells>
  <conditionalFormatting sqref="A5">
    <cfRule type="duplicateValues" dxfId="1909" priority="20" stopIfTrue="1"/>
  </conditionalFormatting>
  <conditionalFormatting sqref="A5">
    <cfRule type="duplicateValues" dxfId="1908" priority="17" stopIfTrue="1"/>
    <cfRule type="duplicateValues" dxfId="1907" priority="18" stopIfTrue="1"/>
    <cfRule type="duplicateValues" dxfId="1906" priority="19" stopIfTrue="1"/>
  </conditionalFormatting>
  <conditionalFormatting sqref="A6">
    <cfRule type="duplicateValues" dxfId="1905" priority="16" stopIfTrue="1"/>
  </conditionalFormatting>
  <conditionalFormatting sqref="A6">
    <cfRule type="duplicateValues" dxfId="1904" priority="13" stopIfTrue="1"/>
    <cfRule type="duplicateValues" dxfId="1903" priority="14" stopIfTrue="1"/>
    <cfRule type="duplicateValues" dxfId="1902" priority="15" stopIfTrue="1"/>
  </conditionalFormatting>
  <conditionalFormatting sqref="A7">
    <cfRule type="duplicateValues" dxfId="1901" priority="12" stopIfTrue="1"/>
  </conditionalFormatting>
  <conditionalFormatting sqref="A7">
    <cfRule type="duplicateValues" dxfId="1900" priority="9" stopIfTrue="1"/>
    <cfRule type="duplicateValues" dxfId="1899" priority="10" stopIfTrue="1"/>
    <cfRule type="duplicateValues" dxfId="1898" priority="11" stopIfTrue="1"/>
  </conditionalFormatting>
  <conditionalFormatting sqref="A8">
    <cfRule type="duplicateValues" dxfId="1897" priority="8" stopIfTrue="1"/>
  </conditionalFormatting>
  <conditionalFormatting sqref="A8">
    <cfRule type="duplicateValues" dxfId="1896" priority="5" stopIfTrue="1"/>
    <cfRule type="duplicateValues" dxfId="1895" priority="6" stopIfTrue="1"/>
    <cfRule type="duplicateValues" dxfId="1894" priority="7" stopIfTrue="1"/>
  </conditionalFormatting>
  <conditionalFormatting sqref="A9">
    <cfRule type="duplicateValues" dxfId="1893" priority="4" stopIfTrue="1"/>
  </conditionalFormatting>
  <conditionalFormatting sqref="A9">
    <cfRule type="duplicateValues" dxfId="1892" priority="1" stopIfTrue="1"/>
    <cfRule type="duplicateValues" dxfId="1891" priority="2" stopIfTrue="1"/>
    <cfRule type="duplicateValues" dxfId="1890" priority="3" stopIfTrue="1"/>
  </conditionalFormatting>
  <pageMargins left="1.54" right="0.18" top="1" bottom="0.5" header="0.5" footer="0.5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2"/>
  <sheetViews>
    <sheetView view="pageBreakPreview" topLeftCell="A514" zoomScale="90" zoomScaleSheetLayoutView="90" workbookViewId="0">
      <selection activeCell="B525" sqref="B525"/>
    </sheetView>
  </sheetViews>
  <sheetFormatPr defaultRowHeight="21" customHeight="1" x14ac:dyDescent="0.25"/>
  <cols>
    <col min="1" max="1" width="17.7109375" style="698" customWidth="1"/>
    <col min="2" max="2" width="75.140625" style="699" customWidth="1"/>
    <col min="3" max="3" width="13.85546875" style="698" hidden="1" customWidth="1"/>
    <col min="4" max="4" width="11.140625" style="698" hidden="1" customWidth="1"/>
    <col min="5" max="5" width="16.140625" style="698" hidden="1" customWidth="1"/>
    <col min="6" max="6" width="17.7109375" style="698" hidden="1" customWidth="1"/>
    <col min="7" max="7" width="13.140625" style="698" hidden="1" customWidth="1"/>
    <col min="8" max="8" width="21.5703125" style="698" hidden="1" customWidth="1"/>
    <col min="9" max="9" width="24" style="696" customWidth="1"/>
    <col min="10" max="10" width="23.7109375" style="696" customWidth="1"/>
    <col min="11" max="11" width="9.28515625" style="697" customWidth="1"/>
    <col min="12" max="12" width="23.85546875" style="181" customWidth="1"/>
    <col min="13" max="13" width="9.42578125" style="270" customWidth="1"/>
    <col min="14" max="14" width="16.85546875" style="270" customWidth="1"/>
    <col min="15" max="15" width="37.28515625" style="270" customWidth="1"/>
    <col min="16" max="16" width="9.140625" style="270"/>
    <col min="17" max="16384" width="9.140625" style="271"/>
  </cols>
  <sheetData>
    <row r="1" spans="1:16" ht="21" customHeight="1" x14ac:dyDescent="0.25">
      <c r="A1" s="967" t="s">
        <v>0</v>
      </c>
      <c r="B1" s="967"/>
      <c r="C1" s="967"/>
      <c r="D1" s="967"/>
      <c r="E1" s="967"/>
      <c r="F1" s="967"/>
      <c r="G1" s="967"/>
      <c r="H1" s="967"/>
      <c r="I1" s="967"/>
      <c r="J1" s="967"/>
      <c r="K1" s="633"/>
    </row>
    <row r="2" spans="1:16" ht="21" customHeight="1" x14ac:dyDescent="0.25">
      <c r="A2" s="967" t="s">
        <v>2077</v>
      </c>
      <c r="B2" s="967"/>
      <c r="C2" s="967"/>
      <c r="D2" s="967"/>
      <c r="E2" s="967"/>
      <c r="F2" s="967"/>
      <c r="G2" s="967"/>
      <c r="H2" s="967"/>
      <c r="I2" s="967"/>
      <c r="J2" s="967"/>
      <c r="K2" s="633"/>
    </row>
    <row r="3" spans="1:16" ht="21" customHeight="1" x14ac:dyDescent="0.25">
      <c r="A3" s="182"/>
      <c r="B3" s="634"/>
      <c r="C3" s="182"/>
      <c r="D3" s="182"/>
      <c r="E3" s="182"/>
      <c r="F3" s="182"/>
      <c r="G3" s="182"/>
      <c r="H3" s="182"/>
      <c r="I3" s="183"/>
      <c r="J3" s="183"/>
      <c r="K3" s="633"/>
    </row>
    <row r="4" spans="1:16" ht="39.950000000000003" customHeight="1" x14ac:dyDescent="0.25">
      <c r="A4" s="635" t="s">
        <v>83</v>
      </c>
      <c r="B4" s="635" t="s">
        <v>84</v>
      </c>
      <c r="C4" s="635" t="s">
        <v>85</v>
      </c>
      <c r="D4" s="635" t="s">
        <v>86</v>
      </c>
      <c r="E4" s="635" t="s">
        <v>87</v>
      </c>
      <c r="F4" s="635" t="s">
        <v>88</v>
      </c>
      <c r="G4" s="635" t="s">
        <v>89</v>
      </c>
      <c r="H4" s="635" t="s">
        <v>90</v>
      </c>
      <c r="I4" s="636" t="s">
        <v>56</v>
      </c>
      <c r="J4" s="636" t="s">
        <v>2070</v>
      </c>
      <c r="K4" s="633"/>
    </row>
    <row r="5" spans="1:16" ht="21" customHeight="1" x14ac:dyDescent="0.25">
      <c r="A5" s="637"/>
      <c r="B5" s="638" t="s">
        <v>61</v>
      </c>
      <c r="C5" s="639"/>
      <c r="D5" s="639"/>
      <c r="E5" s="639"/>
      <c r="F5" s="639"/>
      <c r="G5" s="191"/>
      <c r="H5" s="191"/>
      <c r="I5" s="640"/>
      <c r="J5" s="186"/>
      <c r="K5" s="633"/>
    </row>
    <row r="6" spans="1:16" ht="21" customHeight="1" x14ac:dyDescent="0.25">
      <c r="A6" s="641">
        <v>11010101</v>
      </c>
      <c r="B6" s="642" t="s">
        <v>62</v>
      </c>
      <c r="C6" s="285" t="s">
        <v>91</v>
      </c>
      <c r="D6" s="184" t="s">
        <v>92</v>
      </c>
      <c r="E6" s="643" t="s">
        <v>93</v>
      </c>
      <c r="F6" s="644" t="s">
        <v>94</v>
      </c>
      <c r="G6" s="643">
        <v>70112</v>
      </c>
      <c r="H6" s="318" t="s">
        <v>95</v>
      </c>
      <c r="I6" s="185"/>
      <c r="J6" s="186">
        <v>46429109763</v>
      </c>
      <c r="K6" s="633"/>
    </row>
    <row r="7" spans="1:16" ht="21" customHeight="1" x14ac:dyDescent="0.25">
      <c r="A7" s="641">
        <v>11010102</v>
      </c>
      <c r="B7" s="642" t="s">
        <v>63</v>
      </c>
      <c r="C7" s="285" t="s">
        <v>91</v>
      </c>
      <c r="D7" s="184" t="s">
        <v>92</v>
      </c>
      <c r="E7" s="643" t="s">
        <v>93</v>
      </c>
      <c r="F7" s="644" t="s">
        <v>96</v>
      </c>
      <c r="G7" s="643">
        <v>70112</v>
      </c>
      <c r="H7" s="318" t="s">
        <v>95</v>
      </c>
      <c r="I7" s="187">
        <v>217894748193</v>
      </c>
      <c r="J7" s="186">
        <f>232941405657-46429109763</f>
        <v>186512295894</v>
      </c>
      <c r="K7" s="633"/>
    </row>
    <row r="8" spans="1:16" ht="21" customHeight="1" x14ac:dyDescent="0.25">
      <c r="A8" s="878" t="s">
        <v>2078</v>
      </c>
      <c r="B8" s="642" t="s">
        <v>64</v>
      </c>
      <c r="C8" s="285" t="s">
        <v>91</v>
      </c>
      <c r="D8" s="184" t="s">
        <v>92</v>
      </c>
      <c r="E8" s="643" t="s">
        <v>93</v>
      </c>
      <c r="F8" s="188" t="s">
        <v>97</v>
      </c>
      <c r="G8" s="643">
        <v>70112</v>
      </c>
      <c r="H8" s="318" t="s">
        <v>98</v>
      </c>
      <c r="I8" s="187">
        <v>13051179721</v>
      </c>
      <c r="J8" s="186">
        <v>22958761951</v>
      </c>
      <c r="K8" s="633"/>
    </row>
    <row r="9" spans="1:16" ht="21" customHeight="1" x14ac:dyDescent="0.25">
      <c r="A9" s="641" t="s">
        <v>2252</v>
      </c>
      <c r="B9" s="642" t="s">
        <v>99</v>
      </c>
      <c r="C9" s="189"/>
      <c r="D9" s="189"/>
      <c r="E9" s="189"/>
      <c r="F9" s="190"/>
      <c r="G9" s="191"/>
      <c r="H9" s="191"/>
      <c r="I9" s="192">
        <v>0</v>
      </c>
      <c r="J9" s="186">
        <f>15463737461-0.5</f>
        <v>15463737460.5</v>
      </c>
      <c r="K9" s="633"/>
      <c r="L9" s="893"/>
    </row>
    <row r="10" spans="1:16" ht="21" customHeight="1" x14ac:dyDescent="0.25">
      <c r="A10" s="641"/>
      <c r="B10" s="645" t="s">
        <v>100</v>
      </c>
      <c r="C10" s="189"/>
      <c r="D10" s="189"/>
      <c r="E10" s="189"/>
      <c r="F10" s="190"/>
      <c r="G10" s="190"/>
      <c r="H10" s="190"/>
      <c r="I10" s="193">
        <f>SUM(I6:I9)</f>
        <v>230945927914</v>
      </c>
      <c r="J10" s="193">
        <f>SUM(J6:J9)</f>
        <v>271363905068.5</v>
      </c>
      <c r="K10" s="633"/>
    </row>
    <row r="11" spans="1:16" s="895" customFormat="1" ht="21" customHeight="1" x14ac:dyDescent="0.25">
      <c r="A11" s="646"/>
      <c r="B11" s="646"/>
      <c r="C11" s="646"/>
      <c r="D11" s="646"/>
      <c r="E11" s="646"/>
      <c r="F11" s="646"/>
      <c r="G11" s="646"/>
      <c r="H11" s="285"/>
      <c r="I11" s="647"/>
      <c r="J11" s="647"/>
      <c r="K11" s="648"/>
      <c r="L11" s="894"/>
      <c r="M11" s="894"/>
      <c r="N11" s="894"/>
      <c r="O11" s="894"/>
      <c r="P11" s="894"/>
    </row>
    <row r="12" spans="1:16" ht="21" customHeight="1" x14ac:dyDescent="0.25">
      <c r="A12" s="316"/>
      <c r="B12" s="968" t="s">
        <v>101</v>
      </c>
      <c r="C12" s="968"/>
      <c r="D12" s="968"/>
      <c r="E12" s="968"/>
      <c r="F12" s="968"/>
      <c r="G12" s="968"/>
      <c r="H12" s="968"/>
      <c r="I12" s="194"/>
      <c r="J12" s="194"/>
      <c r="K12" s="195"/>
      <c r="M12" s="896"/>
      <c r="O12" s="896"/>
    </row>
    <row r="13" spans="1:16" ht="21" customHeight="1" x14ac:dyDescent="0.25">
      <c r="A13" s="316"/>
      <c r="B13" s="888" t="s">
        <v>102</v>
      </c>
      <c r="C13" s="196"/>
      <c r="D13" s="196"/>
      <c r="E13" s="196"/>
      <c r="F13" s="196"/>
      <c r="G13" s="196"/>
      <c r="H13" s="196"/>
      <c r="I13" s="197"/>
      <c r="J13" s="197"/>
      <c r="K13" s="633"/>
      <c r="M13" s="897"/>
      <c r="O13" s="897"/>
    </row>
    <row r="14" spans="1:16" ht="21" customHeight="1" x14ac:dyDescent="0.25">
      <c r="A14" s="316"/>
      <c r="B14" s="888" t="s">
        <v>103</v>
      </c>
      <c r="C14" s="316"/>
      <c r="D14" s="196"/>
      <c r="E14" s="196" t="s">
        <v>104</v>
      </c>
      <c r="F14" s="196"/>
      <c r="G14" s="196"/>
      <c r="H14" s="196"/>
      <c r="I14" s="197"/>
      <c r="J14" s="197"/>
      <c r="K14" s="633"/>
      <c r="M14" s="215"/>
      <c r="O14" s="215"/>
    </row>
    <row r="15" spans="1:16" ht="21" customHeight="1" x14ac:dyDescent="0.25">
      <c r="A15" s="316"/>
      <c r="B15" s="968" t="s">
        <v>105</v>
      </c>
      <c r="C15" s="968"/>
      <c r="D15" s="968"/>
      <c r="E15" s="968"/>
      <c r="F15" s="968"/>
      <c r="G15" s="968"/>
      <c r="H15" s="968"/>
      <c r="I15" s="197"/>
      <c r="J15" s="197"/>
      <c r="K15" s="633"/>
      <c r="M15" s="215"/>
      <c r="O15" s="215"/>
    </row>
    <row r="16" spans="1:16" ht="21" customHeight="1" x14ac:dyDescent="0.25">
      <c r="A16" s="878" t="s">
        <v>2079</v>
      </c>
      <c r="B16" s="198" t="s">
        <v>106</v>
      </c>
      <c r="C16" s="199" t="s">
        <v>91</v>
      </c>
      <c r="D16" s="184" t="s">
        <v>92</v>
      </c>
      <c r="E16" s="294" t="s">
        <v>107</v>
      </c>
      <c r="F16" s="184" t="s">
        <v>108</v>
      </c>
      <c r="G16" s="294">
        <v>70112</v>
      </c>
      <c r="H16" s="318" t="s">
        <v>109</v>
      </c>
      <c r="I16" s="200">
        <v>56476834197</v>
      </c>
      <c r="J16" s="201">
        <v>57036787823</v>
      </c>
      <c r="K16" s="633"/>
      <c r="L16" s="202"/>
      <c r="M16" s="898"/>
      <c r="N16" s="899"/>
      <c r="O16" s="898"/>
    </row>
    <row r="17" spans="1:15" ht="21" customHeight="1" x14ac:dyDescent="0.25">
      <c r="A17" s="878" t="s">
        <v>2080</v>
      </c>
      <c r="B17" s="198" t="s">
        <v>110</v>
      </c>
      <c r="C17" s="199" t="s">
        <v>91</v>
      </c>
      <c r="D17" s="184" t="s">
        <v>92</v>
      </c>
      <c r="E17" s="294" t="s">
        <v>107</v>
      </c>
      <c r="F17" s="184" t="s">
        <v>111</v>
      </c>
      <c r="G17" s="294">
        <v>70112</v>
      </c>
      <c r="H17" s="318" t="s">
        <v>109</v>
      </c>
      <c r="I17" s="200">
        <v>4233289656</v>
      </c>
      <c r="J17" s="201">
        <v>7294748872</v>
      </c>
      <c r="K17" s="633"/>
      <c r="L17" s="202"/>
      <c r="M17" s="898"/>
      <c r="N17" s="899"/>
      <c r="O17" s="898"/>
    </row>
    <row r="18" spans="1:15" ht="21" customHeight="1" x14ac:dyDescent="0.25">
      <c r="A18" s="878" t="s">
        <v>2081</v>
      </c>
      <c r="B18" s="198" t="s">
        <v>112</v>
      </c>
      <c r="C18" s="199" t="s">
        <v>91</v>
      </c>
      <c r="D18" s="184" t="s">
        <v>92</v>
      </c>
      <c r="E18" s="294" t="s">
        <v>107</v>
      </c>
      <c r="F18" s="184" t="s">
        <v>113</v>
      </c>
      <c r="G18" s="294">
        <v>70112</v>
      </c>
      <c r="H18" s="318" t="s">
        <v>109</v>
      </c>
      <c r="I18" s="200">
        <v>3042080785</v>
      </c>
      <c r="J18" s="204">
        <v>0</v>
      </c>
      <c r="K18" s="633"/>
      <c r="L18" s="203"/>
      <c r="M18" s="900"/>
      <c r="N18" s="899"/>
      <c r="O18" s="900"/>
    </row>
    <row r="19" spans="1:15" ht="21" customHeight="1" x14ac:dyDescent="0.25">
      <c r="A19" s="878" t="s">
        <v>2082</v>
      </c>
      <c r="B19" s="198" t="s">
        <v>114</v>
      </c>
      <c r="C19" s="199" t="s">
        <v>91</v>
      </c>
      <c r="D19" s="184" t="s">
        <v>92</v>
      </c>
      <c r="E19" s="294" t="s">
        <v>107</v>
      </c>
      <c r="F19" s="184" t="s">
        <v>115</v>
      </c>
      <c r="G19" s="294">
        <v>70112</v>
      </c>
      <c r="H19" s="318" t="s">
        <v>109</v>
      </c>
      <c r="I19" s="200">
        <v>19082354</v>
      </c>
      <c r="J19" s="204">
        <v>0</v>
      </c>
      <c r="K19" s="633"/>
      <c r="L19" s="205"/>
      <c r="M19" s="898"/>
      <c r="N19" s="899"/>
      <c r="O19" s="898"/>
    </row>
    <row r="20" spans="1:15" ht="21" customHeight="1" x14ac:dyDescent="0.25">
      <c r="A20" s="890" t="s">
        <v>2083</v>
      </c>
      <c r="B20" s="198" t="s">
        <v>116</v>
      </c>
      <c r="C20" s="199"/>
      <c r="D20" s="184"/>
      <c r="E20" s="294"/>
      <c r="F20" s="184"/>
      <c r="G20" s="294"/>
      <c r="H20" s="318"/>
      <c r="I20" s="200"/>
      <c r="J20" s="204">
        <v>0</v>
      </c>
      <c r="K20" s="633"/>
      <c r="L20" s="205"/>
      <c r="M20" s="898"/>
      <c r="N20" s="899"/>
      <c r="O20" s="898"/>
    </row>
    <row r="21" spans="1:15" ht="21" customHeight="1" x14ac:dyDescent="0.25">
      <c r="A21" s="316"/>
      <c r="B21" s="888" t="s">
        <v>117</v>
      </c>
      <c r="C21" s="199"/>
      <c r="D21" s="184"/>
      <c r="E21" s="649"/>
      <c r="F21" s="184"/>
      <c r="G21" s="294"/>
      <c r="H21" s="318"/>
      <c r="I21" s="200"/>
      <c r="J21" s="206">
        <f>SUM(J16:J20)</f>
        <v>64331536695</v>
      </c>
      <c r="K21" s="633"/>
      <c r="L21" s="207"/>
      <c r="M21" s="330"/>
      <c r="N21" s="899"/>
      <c r="O21" s="330"/>
    </row>
    <row r="22" spans="1:15" ht="56.25" customHeight="1" x14ac:dyDescent="0.25">
      <c r="A22" s="650"/>
      <c r="B22" s="651">
        <v>7</v>
      </c>
      <c r="C22" s="208"/>
      <c r="D22" s="208"/>
      <c r="E22" s="209"/>
      <c r="F22" s="208"/>
      <c r="G22" s="208"/>
      <c r="H22" s="208"/>
      <c r="I22" s="210"/>
      <c r="J22" s="210"/>
      <c r="K22" s="633"/>
      <c r="L22" s="210"/>
      <c r="M22" s="215"/>
      <c r="N22" s="899"/>
      <c r="O22" s="215"/>
    </row>
    <row r="23" spans="1:15" ht="21" customHeight="1" x14ac:dyDescent="0.25">
      <c r="A23" s="316"/>
      <c r="B23" s="631" t="s">
        <v>118</v>
      </c>
      <c r="C23" s="224"/>
      <c r="D23" s="224"/>
      <c r="E23" s="231"/>
      <c r="F23" s="224"/>
      <c r="G23" s="224"/>
      <c r="H23" s="224"/>
      <c r="I23" s="197"/>
      <c r="J23" s="197"/>
      <c r="K23" s="633"/>
      <c r="L23" s="210"/>
      <c r="M23" s="215"/>
      <c r="N23" s="899"/>
      <c r="O23" s="215"/>
    </row>
    <row r="24" spans="1:15" ht="18" customHeight="1" x14ac:dyDescent="0.25">
      <c r="A24" s="316"/>
      <c r="B24" s="968" t="s">
        <v>105</v>
      </c>
      <c r="C24" s="968"/>
      <c r="D24" s="968"/>
      <c r="E24" s="968"/>
      <c r="F24" s="968"/>
      <c r="G24" s="968"/>
      <c r="H24" s="968"/>
      <c r="I24" s="197"/>
      <c r="J24" s="197"/>
      <c r="K24" s="633"/>
      <c r="L24" s="210"/>
      <c r="M24" s="215"/>
      <c r="N24" s="899"/>
      <c r="O24" s="215"/>
    </row>
    <row r="25" spans="1:15" ht="18" customHeight="1" x14ac:dyDescent="0.25">
      <c r="A25" s="878" t="s">
        <v>2084</v>
      </c>
      <c r="B25" s="198" t="s">
        <v>119</v>
      </c>
      <c r="C25" s="199" t="s">
        <v>91</v>
      </c>
      <c r="D25" s="184" t="s">
        <v>92</v>
      </c>
      <c r="E25" s="294" t="s">
        <v>107</v>
      </c>
      <c r="F25" s="184" t="s">
        <v>120</v>
      </c>
      <c r="G25" s="294">
        <v>70112</v>
      </c>
      <c r="H25" s="318" t="s">
        <v>109</v>
      </c>
      <c r="I25" s="200">
        <v>24037089</v>
      </c>
      <c r="J25" s="201">
        <v>24315829</v>
      </c>
      <c r="K25" s="633"/>
      <c r="L25" s="202"/>
      <c r="M25" s="901"/>
      <c r="N25" s="899"/>
      <c r="O25" s="901"/>
    </row>
    <row r="26" spans="1:15" ht="18" customHeight="1" x14ac:dyDescent="0.25">
      <c r="A26" s="891">
        <v>12010216</v>
      </c>
      <c r="B26" s="198" t="s">
        <v>121</v>
      </c>
      <c r="C26" s="199" t="s">
        <v>91</v>
      </c>
      <c r="D26" s="184" t="s">
        <v>92</v>
      </c>
      <c r="E26" s="294" t="s">
        <v>107</v>
      </c>
      <c r="F26" s="184" t="s">
        <v>122</v>
      </c>
      <c r="G26" s="294">
        <v>70112</v>
      </c>
      <c r="H26" s="318" t="s">
        <v>109</v>
      </c>
      <c r="I26" s="200">
        <v>12018545</v>
      </c>
      <c r="J26" s="201">
        <v>12157915</v>
      </c>
      <c r="K26" s="633"/>
      <c r="L26" s="202"/>
      <c r="M26" s="901"/>
      <c r="N26" s="899"/>
      <c r="O26" s="901"/>
    </row>
    <row r="27" spans="1:15" ht="18" customHeight="1" x14ac:dyDescent="0.25">
      <c r="A27" s="878" t="s">
        <v>2085</v>
      </c>
      <c r="B27" s="198" t="s">
        <v>123</v>
      </c>
      <c r="C27" s="199" t="s">
        <v>91</v>
      </c>
      <c r="D27" s="184" t="s">
        <v>92</v>
      </c>
      <c r="E27" s="294" t="s">
        <v>107</v>
      </c>
      <c r="F27" s="184" t="s">
        <v>124</v>
      </c>
      <c r="G27" s="294">
        <v>70112</v>
      </c>
      <c r="H27" s="318" t="s">
        <v>109</v>
      </c>
      <c r="I27" s="200">
        <v>73200</v>
      </c>
      <c r="J27" s="204">
        <v>0</v>
      </c>
      <c r="K27" s="633"/>
      <c r="L27" s="205"/>
      <c r="M27" s="901"/>
      <c r="N27" s="899"/>
      <c r="O27" s="901"/>
    </row>
    <row r="28" spans="1:15" ht="18" customHeight="1" x14ac:dyDescent="0.25">
      <c r="A28" s="878" t="s">
        <v>2086</v>
      </c>
      <c r="B28" s="211" t="s">
        <v>125</v>
      </c>
      <c r="C28" s="199" t="s">
        <v>91</v>
      </c>
      <c r="D28" s="184" t="s">
        <v>92</v>
      </c>
      <c r="E28" s="294" t="s">
        <v>107</v>
      </c>
      <c r="F28" s="184" t="s">
        <v>126</v>
      </c>
      <c r="G28" s="294">
        <v>70112</v>
      </c>
      <c r="H28" s="318" t="s">
        <v>109</v>
      </c>
      <c r="I28" s="200">
        <v>9840000</v>
      </c>
      <c r="J28" s="204"/>
      <c r="K28" s="633"/>
      <c r="L28" s="205"/>
      <c r="M28" s="902"/>
      <c r="N28" s="899"/>
      <c r="O28" s="903"/>
    </row>
    <row r="29" spans="1:15" ht="18" customHeight="1" x14ac:dyDescent="0.25">
      <c r="A29" s="878" t="s">
        <v>2087</v>
      </c>
      <c r="B29" s="198" t="s">
        <v>127</v>
      </c>
      <c r="C29" s="199" t="s">
        <v>91</v>
      </c>
      <c r="D29" s="184" t="s">
        <v>92</v>
      </c>
      <c r="E29" s="294" t="s">
        <v>107</v>
      </c>
      <c r="F29" s="184" t="s">
        <v>128</v>
      </c>
      <c r="G29" s="294">
        <v>70112</v>
      </c>
      <c r="H29" s="318" t="s">
        <v>109</v>
      </c>
      <c r="I29" s="200">
        <v>175836</v>
      </c>
      <c r="J29" s="204">
        <v>0</v>
      </c>
      <c r="K29" s="633"/>
      <c r="L29" s="205"/>
      <c r="M29" s="901"/>
      <c r="N29" s="899"/>
      <c r="O29" s="901"/>
    </row>
    <row r="30" spans="1:15" ht="18" customHeight="1" x14ac:dyDescent="0.25">
      <c r="A30" s="878" t="s">
        <v>2088</v>
      </c>
      <c r="B30" s="198" t="s">
        <v>129</v>
      </c>
      <c r="C30" s="199" t="s">
        <v>91</v>
      </c>
      <c r="D30" s="184" t="s">
        <v>92</v>
      </c>
      <c r="E30" s="294" t="s">
        <v>107</v>
      </c>
      <c r="F30" s="184" t="s">
        <v>130</v>
      </c>
      <c r="G30" s="294">
        <v>70112</v>
      </c>
      <c r="H30" s="318" t="s">
        <v>109</v>
      </c>
      <c r="I30" s="200">
        <v>81866</v>
      </c>
      <c r="J30" s="204">
        <v>0</v>
      </c>
      <c r="K30" s="633"/>
      <c r="L30" s="205"/>
      <c r="M30" s="901"/>
      <c r="N30" s="899"/>
      <c r="O30" s="901"/>
    </row>
    <row r="31" spans="1:15" ht="18" customHeight="1" x14ac:dyDescent="0.25">
      <c r="A31" s="316"/>
      <c r="B31" s="198" t="s">
        <v>131</v>
      </c>
      <c r="C31" s="199" t="s">
        <v>91</v>
      </c>
      <c r="D31" s="184" t="s">
        <v>92</v>
      </c>
      <c r="E31" s="294" t="s">
        <v>107</v>
      </c>
      <c r="F31" s="184" t="s">
        <v>132</v>
      </c>
      <c r="G31" s="294">
        <v>70112</v>
      </c>
      <c r="H31" s="318" t="s">
        <v>109</v>
      </c>
      <c r="I31" s="319">
        <v>331450844.63999999</v>
      </c>
      <c r="J31" s="204">
        <v>0</v>
      </c>
      <c r="K31" s="633"/>
      <c r="L31" s="205"/>
      <c r="M31" s="901"/>
      <c r="N31" s="899"/>
      <c r="O31" s="901"/>
    </row>
    <row r="32" spans="1:15" ht="18" customHeight="1" x14ac:dyDescent="0.25">
      <c r="A32" s="316"/>
      <c r="B32" s="888" t="s">
        <v>117</v>
      </c>
      <c r="C32" s="199"/>
      <c r="D32" s="184"/>
      <c r="E32" s="649"/>
      <c r="F32" s="184"/>
      <c r="G32" s="294"/>
      <c r="H32" s="318"/>
      <c r="I32" s="319"/>
      <c r="J32" s="212">
        <f>SUM(J25:J31)</f>
        <v>36473744</v>
      </c>
      <c r="K32" s="633"/>
      <c r="L32" s="213"/>
      <c r="M32" s="269"/>
      <c r="N32" s="899"/>
      <c r="O32" s="269"/>
    </row>
    <row r="33" spans="1:15" ht="27" customHeight="1" x14ac:dyDescent="0.25">
      <c r="A33" s="316"/>
      <c r="B33" s="888" t="s">
        <v>133</v>
      </c>
      <c r="C33" s="294"/>
      <c r="D33" s="294"/>
      <c r="E33" s="294"/>
      <c r="F33" s="294"/>
      <c r="G33" s="294"/>
      <c r="H33" s="294"/>
      <c r="I33" s="652"/>
      <c r="J33" s="653">
        <f>SUM(J21,J32)</f>
        <v>64368010439</v>
      </c>
      <c r="K33" s="633"/>
      <c r="L33" s="214"/>
      <c r="N33" s="899"/>
    </row>
    <row r="34" spans="1:15" ht="23.25" customHeight="1" x14ac:dyDescent="0.25">
      <c r="A34" s="316"/>
      <c r="B34" s="631" t="s">
        <v>134</v>
      </c>
      <c r="C34" s="294"/>
      <c r="D34" s="294"/>
      <c r="E34" s="224"/>
      <c r="F34" s="224"/>
      <c r="G34" s="224"/>
      <c r="H34" s="224"/>
      <c r="I34" s="197"/>
      <c r="J34" s="197"/>
      <c r="K34" s="633"/>
      <c r="L34" s="210"/>
      <c r="M34" s="215"/>
      <c r="N34" s="899"/>
      <c r="O34" s="215"/>
    </row>
    <row r="35" spans="1:15" ht="21.75" customHeight="1" x14ac:dyDescent="0.25">
      <c r="A35" s="316"/>
      <c r="B35" s="968" t="s">
        <v>105</v>
      </c>
      <c r="C35" s="968"/>
      <c r="D35" s="968"/>
      <c r="E35" s="968"/>
      <c r="F35" s="968"/>
      <c r="G35" s="968"/>
      <c r="H35" s="968"/>
      <c r="I35" s="197"/>
      <c r="J35" s="197"/>
      <c r="K35" s="633"/>
      <c r="L35" s="901"/>
      <c r="M35" s="215"/>
      <c r="N35" s="899"/>
      <c r="O35" s="215"/>
    </row>
    <row r="36" spans="1:15" ht="18" customHeight="1" x14ac:dyDescent="0.25">
      <c r="A36" s="878" t="s">
        <v>2089</v>
      </c>
      <c r="B36" s="198" t="s">
        <v>135</v>
      </c>
      <c r="C36" s="199" t="s">
        <v>91</v>
      </c>
      <c r="D36" s="184" t="s">
        <v>92</v>
      </c>
      <c r="E36" s="294" t="s">
        <v>107</v>
      </c>
      <c r="F36" s="188" t="s">
        <v>136</v>
      </c>
      <c r="G36" s="294">
        <v>70112</v>
      </c>
      <c r="H36" s="318" t="s">
        <v>109</v>
      </c>
      <c r="I36" s="200">
        <v>6009272</v>
      </c>
      <c r="J36" s="216">
        <v>6078957.5337386178</v>
      </c>
      <c r="K36" s="633"/>
      <c r="L36" s="217"/>
      <c r="M36" s="901"/>
      <c r="N36" s="899"/>
      <c r="O36" s="901"/>
    </row>
    <row r="37" spans="1:15" ht="18" customHeight="1" x14ac:dyDescent="0.25">
      <c r="A37" s="878" t="s">
        <v>2090</v>
      </c>
      <c r="B37" s="198" t="s">
        <v>137</v>
      </c>
      <c r="C37" s="199" t="s">
        <v>91</v>
      </c>
      <c r="D37" s="184" t="s">
        <v>92</v>
      </c>
      <c r="E37" s="294" t="s">
        <v>107</v>
      </c>
      <c r="F37" s="188" t="s">
        <v>138</v>
      </c>
      <c r="G37" s="294">
        <v>70112</v>
      </c>
      <c r="H37" s="318" t="s">
        <v>109</v>
      </c>
      <c r="I37" s="200">
        <v>138127802</v>
      </c>
      <c r="J37" s="216">
        <v>139729562.73970583</v>
      </c>
      <c r="K37" s="633"/>
      <c r="L37" s="217"/>
      <c r="M37" s="901"/>
      <c r="N37" s="899"/>
      <c r="O37" s="901"/>
    </row>
    <row r="38" spans="1:15" ht="18" customHeight="1" x14ac:dyDescent="0.25">
      <c r="A38" s="878" t="s">
        <v>2091</v>
      </c>
      <c r="B38" s="198" t="s">
        <v>139</v>
      </c>
      <c r="C38" s="199"/>
      <c r="D38" s="184" t="s">
        <v>92</v>
      </c>
      <c r="E38" s="294" t="s">
        <v>107</v>
      </c>
      <c r="F38" s="188" t="s">
        <v>140</v>
      </c>
      <c r="G38" s="294">
        <v>70112</v>
      </c>
      <c r="H38" s="318" t="s">
        <v>109</v>
      </c>
      <c r="I38" s="200">
        <v>174268903</v>
      </c>
      <c r="J38" s="216">
        <v>176289763.70588025</v>
      </c>
      <c r="K38" s="633"/>
      <c r="L38" s="217"/>
      <c r="M38" s="901"/>
      <c r="N38" s="899"/>
      <c r="O38" s="901"/>
    </row>
    <row r="39" spans="1:15" ht="18" customHeight="1" x14ac:dyDescent="0.25">
      <c r="A39" s="878" t="s">
        <v>2092</v>
      </c>
      <c r="B39" s="198" t="s">
        <v>141</v>
      </c>
      <c r="C39" s="199"/>
      <c r="D39" s="184"/>
      <c r="E39" s="294"/>
      <c r="F39" s="188"/>
      <c r="G39" s="294"/>
      <c r="H39" s="318"/>
      <c r="I39" s="200"/>
      <c r="J39" s="216">
        <v>0</v>
      </c>
      <c r="K39" s="633"/>
      <c r="L39" s="217"/>
      <c r="M39" s="901"/>
      <c r="N39" s="899"/>
      <c r="O39" s="901"/>
    </row>
    <row r="40" spans="1:15" ht="18" customHeight="1" x14ac:dyDescent="0.25">
      <c r="A40" s="878" t="s">
        <v>2093</v>
      </c>
      <c r="B40" s="198" t="s">
        <v>142</v>
      </c>
      <c r="C40" s="199"/>
      <c r="D40" s="184"/>
      <c r="E40" s="294"/>
      <c r="F40" s="188"/>
      <c r="G40" s="294"/>
      <c r="H40" s="318"/>
      <c r="I40" s="200"/>
      <c r="J40" s="216">
        <v>14589497.700753756</v>
      </c>
      <c r="K40" s="633"/>
      <c r="L40" s="217"/>
      <c r="M40" s="901"/>
      <c r="N40" s="899"/>
      <c r="O40" s="901"/>
    </row>
    <row r="41" spans="1:15" ht="18" customHeight="1" x14ac:dyDescent="0.25">
      <c r="A41" s="316"/>
      <c r="B41" s="198" t="s">
        <v>143</v>
      </c>
      <c r="C41" s="199"/>
      <c r="D41" s="184"/>
      <c r="E41" s="294"/>
      <c r="F41" s="188"/>
      <c r="G41" s="294"/>
      <c r="H41" s="318"/>
      <c r="I41" s="200"/>
      <c r="J41" s="204">
        <v>0</v>
      </c>
      <c r="K41" s="633"/>
      <c r="L41" s="217"/>
      <c r="M41" s="901"/>
      <c r="N41" s="899"/>
      <c r="O41" s="901"/>
    </row>
    <row r="42" spans="1:15" ht="18" customHeight="1" x14ac:dyDescent="0.25">
      <c r="A42" s="316"/>
      <c r="B42" s="198" t="s">
        <v>144</v>
      </c>
      <c r="C42" s="199"/>
      <c r="D42" s="184"/>
      <c r="E42" s="294"/>
      <c r="F42" s="188"/>
      <c r="G42" s="294"/>
      <c r="H42" s="318"/>
      <c r="I42" s="200"/>
      <c r="J42" s="204">
        <v>0</v>
      </c>
      <c r="K42" s="633"/>
      <c r="L42" s="217"/>
      <c r="M42" s="901"/>
      <c r="N42" s="899"/>
      <c r="O42" s="901"/>
    </row>
    <row r="43" spans="1:15" ht="18" customHeight="1" x14ac:dyDescent="0.25">
      <c r="A43" s="316"/>
      <c r="B43" s="198" t="s">
        <v>145</v>
      </c>
      <c r="C43" s="199"/>
      <c r="D43" s="184"/>
      <c r="E43" s="294"/>
      <c r="F43" s="188"/>
      <c r="G43" s="294"/>
      <c r="H43" s="318"/>
      <c r="I43" s="200"/>
      <c r="J43" s="204"/>
      <c r="K43" s="633"/>
      <c r="L43" s="217"/>
      <c r="M43" s="901"/>
      <c r="N43" s="899"/>
      <c r="O43" s="901"/>
    </row>
    <row r="44" spans="1:15" ht="18" customHeight="1" x14ac:dyDescent="0.25">
      <c r="A44" s="316"/>
      <c r="B44" s="198" t="s">
        <v>146</v>
      </c>
      <c r="C44" s="199"/>
      <c r="D44" s="184"/>
      <c r="E44" s="294"/>
      <c r="F44" s="188"/>
      <c r="G44" s="218"/>
      <c r="H44" s="318"/>
      <c r="I44" s="200"/>
      <c r="J44" s="204"/>
      <c r="K44" s="633"/>
      <c r="L44" s="217"/>
      <c r="M44" s="901"/>
      <c r="N44" s="899"/>
      <c r="O44" s="901"/>
    </row>
    <row r="45" spans="1:15" ht="18" customHeight="1" x14ac:dyDescent="0.25">
      <c r="A45" s="316"/>
      <c r="B45" s="198" t="s">
        <v>147</v>
      </c>
      <c r="C45" s="199"/>
      <c r="D45" s="184"/>
      <c r="E45" s="294"/>
      <c r="F45" s="188"/>
      <c r="G45" s="294"/>
      <c r="H45" s="318"/>
      <c r="I45" s="200"/>
      <c r="J45" s="204">
        <v>0</v>
      </c>
      <c r="K45" s="633"/>
      <c r="L45" s="217"/>
      <c r="M45" s="901"/>
      <c r="N45" s="899"/>
      <c r="O45" s="901"/>
    </row>
    <row r="46" spans="1:15" ht="18" customHeight="1" x14ac:dyDescent="0.25">
      <c r="A46" s="316"/>
      <c r="B46" s="888" t="s">
        <v>117</v>
      </c>
      <c r="C46" s="199"/>
      <c r="D46" s="184"/>
      <c r="E46" s="649"/>
      <c r="F46" s="188"/>
      <c r="G46" s="294"/>
      <c r="H46" s="318"/>
      <c r="I46" s="200"/>
      <c r="J46" s="212">
        <f>SUM(J36:J45)</f>
        <v>336687781.68007845</v>
      </c>
      <c r="K46" s="633"/>
      <c r="L46" s="213"/>
      <c r="M46" s="269"/>
      <c r="N46" s="899"/>
      <c r="O46" s="269"/>
    </row>
    <row r="47" spans="1:15" ht="51.75" customHeight="1" x14ac:dyDescent="0.25">
      <c r="A47" s="650"/>
      <c r="B47" s="651">
        <v>8</v>
      </c>
      <c r="C47" s="219"/>
      <c r="D47" s="220"/>
      <c r="E47" s="654"/>
      <c r="F47" s="221"/>
      <c r="G47" s="655"/>
      <c r="H47" s="656"/>
      <c r="I47" s="222"/>
      <c r="J47" s="213"/>
      <c r="K47" s="633"/>
      <c r="L47" s="213"/>
      <c r="M47" s="269"/>
      <c r="N47" s="899"/>
      <c r="O47" s="269"/>
    </row>
    <row r="48" spans="1:15" ht="21" customHeight="1" x14ac:dyDescent="0.25">
      <c r="A48" s="316"/>
      <c r="B48" s="223" t="s">
        <v>148</v>
      </c>
      <c r="C48" s="316"/>
      <c r="D48" s="224"/>
      <c r="E48" s="316"/>
      <c r="F48" s="224"/>
      <c r="G48" s="224"/>
      <c r="H48" s="224"/>
      <c r="I48" s="197"/>
      <c r="J48" s="197"/>
      <c r="K48" s="633"/>
      <c r="L48" s="210"/>
      <c r="M48" s="215"/>
      <c r="N48" s="899"/>
      <c r="O48" s="215"/>
    </row>
    <row r="49" spans="1:15" ht="21" customHeight="1" x14ac:dyDescent="0.25">
      <c r="A49" s="878" t="s">
        <v>2094</v>
      </c>
      <c r="B49" s="198" t="s">
        <v>149</v>
      </c>
      <c r="C49" s="199" t="s">
        <v>91</v>
      </c>
      <c r="D49" s="184" t="s">
        <v>92</v>
      </c>
      <c r="E49" s="225" t="s">
        <v>150</v>
      </c>
      <c r="F49" s="188" t="s">
        <v>151</v>
      </c>
      <c r="G49" s="285">
        <v>70810</v>
      </c>
      <c r="H49" s="318" t="s">
        <v>109</v>
      </c>
      <c r="I49" s="319">
        <v>165000</v>
      </c>
      <c r="J49" s="226"/>
      <c r="K49" s="633"/>
      <c r="L49" s="227"/>
      <c r="M49" s="902"/>
      <c r="N49" s="899"/>
      <c r="O49" s="902"/>
    </row>
    <row r="50" spans="1:15" ht="21" customHeight="1" x14ac:dyDescent="0.25">
      <c r="A50" s="316"/>
      <c r="B50" s="228" t="s">
        <v>152</v>
      </c>
      <c r="C50" s="316"/>
      <c r="D50" s="224"/>
      <c r="E50" s="224"/>
      <c r="F50" s="224"/>
      <c r="G50" s="224"/>
      <c r="H50" s="224"/>
      <c r="I50" s="197"/>
      <c r="J50" s="197"/>
      <c r="K50" s="633"/>
      <c r="L50" s="210"/>
      <c r="M50" s="215"/>
      <c r="N50" s="899"/>
      <c r="O50" s="215"/>
    </row>
    <row r="51" spans="1:15" ht="21" customHeight="1" x14ac:dyDescent="0.25">
      <c r="A51" s="878"/>
      <c r="B51" s="198" t="s">
        <v>153</v>
      </c>
      <c r="C51" s="230"/>
      <c r="D51" s="231"/>
      <c r="E51" s="657"/>
      <c r="F51" s="658"/>
      <c r="G51" s="658"/>
      <c r="H51" s="658"/>
      <c r="I51" s="659"/>
      <c r="J51" s="659"/>
      <c r="K51" s="633"/>
      <c r="L51" s="229"/>
      <c r="M51" s="904"/>
      <c r="N51" s="899"/>
      <c r="O51" s="905"/>
    </row>
    <row r="52" spans="1:15" ht="21" customHeight="1" x14ac:dyDescent="0.25">
      <c r="A52" s="878" t="s">
        <v>2096</v>
      </c>
      <c r="B52" s="198" t="s">
        <v>154</v>
      </c>
      <c r="C52" s="199" t="s">
        <v>91</v>
      </c>
      <c r="D52" s="184" t="s">
        <v>92</v>
      </c>
      <c r="E52" s="225" t="s">
        <v>155</v>
      </c>
      <c r="F52" s="188" t="s">
        <v>156</v>
      </c>
      <c r="G52" s="660">
        <v>70630</v>
      </c>
      <c r="H52" s="318" t="s">
        <v>109</v>
      </c>
      <c r="I52" s="226" t="s">
        <v>157</v>
      </c>
      <c r="J52" s="201">
        <v>1980306.9086162385</v>
      </c>
      <c r="K52" s="633"/>
      <c r="L52" s="202"/>
      <c r="M52" s="901"/>
      <c r="N52" s="899"/>
      <c r="O52" s="901"/>
    </row>
    <row r="53" spans="1:15" ht="21" customHeight="1" x14ac:dyDescent="0.25">
      <c r="A53" s="316"/>
      <c r="B53" s="228" t="s">
        <v>158</v>
      </c>
      <c r="C53" s="316"/>
      <c r="D53" s="224"/>
      <c r="E53" s="224"/>
      <c r="F53" s="224"/>
      <c r="G53" s="224"/>
      <c r="H53" s="224"/>
      <c r="I53" s="197"/>
      <c r="J53" s="197"/>
      <c r="K53" s="633"/>
      <c r="L53" s="210"/>
      <c r="M53" s="215"/>
      <c r="N53" s="899"/>
      <c r="O53" s="215"/>
    </row>
    <row r="54" spans="1:15" ht="21" customHeight="1" x14ac:dyDescent="0.25">
      <c r="A54" s="878" t="s">
        <v>2098</v>
      </c>
      <c r="B54" s="198" t="s">
        <v>159</v>
      </c>
      <c r="C54" s="199" t="s">
        <v>91</v>
      </c>
      <c r="D54" s="184" t="s">
        <v>92</v>
      </c>
      <c r="E54" s="225" t="s">
        <v>160</v>
      </c>
      <c r="F54" s="188" t="s">
        <v>161</v>
      </c>
      <c r="G54" s="285">
        <v>70421</v>
      </c>
      <c r="H54" s="318" t="s">
        <v>109</v>
      </c>
      <c r="I54" s="226">
        <v>35000</v>
      </c>
      <c r="J54" s="201">
        <v>185158.69595561831</v>
      </c>
      <c r="K54" s="633"/>
      <c r="L54" s="202"/>
      <c r="M54" s="901"/>
      <c r="N54" s="899"/>
      <c r="O54" s="901"/>
    </row>
    <row r="55" spans="1:15" ht="21" customHeight="1" x14ac:dyDescent="0.25">
      <c r="A55" s="878" t="s">
        <v>2099</v>
      </c>
      <c r="B55" s="198" t="s">
        <v>162</v>
      </c>
      <c r="C55" s="199"/>
      <c r="D55" s="184"/>
      <c r="E55" s="225"/>
      <c r="F55" s="188"/>
      <c r="G55" s="285">
        <v>70421</v>
      </c>
      <c r="H55" s="318" t="s">
        <v>109</v>
      </c>
      <c r="I55" s="226"/>
      <c r="J55" s="201">
        <v>237636.8290339486</v>
      </c>
      <c r="K55" s="633"/>
      <c r="L55" s="202"/>
      <c r="M55" s="901"/>
      <c r="N55" s="899"/>
      <c r="O55" s="901"/>
    </row>
    <row r="56" spans="1:15" ht="21" customHeight="1" x14ac:dyDescent="0.25">
      <c r="A56" s="878" t="s">
        <v>2099</v>
      </c>
      <c r="B56" s="198" t="s">
        <v>163</v>
      </c>
      <c r="C56" s="199"/>
      <c r="D56" s="184"/>
      <c r="E56" s="225"/>
      <c r="F56" s="188"/>
      <c r="G56" s="285"/>
      <c r="H56" s="318" t="s">
        <v>109</v>
      </c>
      <c r="I56" s="226"/>
      <c r="J56" s="204">
        <v>0</v>
      </c>
      <c r="K56" s="633"/>
      <c r="L56" s="205"/>
      <c r="M56" s="901"/>
      <c r="N56" s="899"/>
      <c r="O56" s="901"/>
    </row>
    <row r="57" spans="1:15" ht="21" customHeight="1" x14ac:dyDescent="0.25">
      <c r="A57" s="878" t="s">
        <v>2097</v>
      </c>
      <c r="B57" s="198" t="s">
        <v>164</v>
      </c>
      <c r="C57" s="199"/>
      <c r="D57" s="184"/>
      <c r="E57" s="225"/>
      <c r="F57" s="188"/>
      <c r="G57" s="285"/>
      <c r="H57" s="318" t="s">
        <v>109</v>
      </c>
      <c r="I57" s="226"/>
      <c r="J57" s="201">
        <v>2656380.9642958231</v>
      </c>
      <c r="K57" s="633"/>
      <c r="L57" s="202"/>
      <c r="M57" s="901"/>
      <c r="N57" s="899"/>
      <c r="O57" s="901"/>
    </row>
    <row r="58" spans="1:15" ht="21" customHeight="1" x14ac:dyDescent="0.25">
      <c r="A58" s="316"/>
      <c r="B58" s="888" t="s">
        <v>117</v>
      </c>
      <c r="C58" s="230"/>
      <c r="D58" s="184"/>
      <c r="E58" s="231"/>
      <c r="F58" s="188"/>
      <c r="G58" s="285"/>
      <c r="H58" s="318"/>
      <c r="I58" s="232">
        <f>SUM(I54:I57)</f>
        <v>35000</v>
      </c>
      <c r="J58" s="212">
        <f>SUM(J54:J57)</f>
        <v>3079176.4892853899</v>
      </c>
      <c r="K58" s="633"/>
      <c r="L58" s="213"/>
      <c r="M58" s="906"/>
      <c r="N58" s="899"/>
      <c r="O58" s="269"/>
    </row>
    <row r="59" spans="1:15" ht="21" customHeight="1" x14ac:dyDescent="0.25">
      <c r="A59" s="316"/>
      <c r="B59" s="223" t="s">
        <v>165</v>
      </c>
      <c r="C59" s="316"/>
      <c r="D59" s="224"/>
      <c r="E59" s="224"/>
      <c r="F59" s="224"/>
      <c r="G59" s="224"/>
      <c r="H59" s="224"/>
      <c r="I59" s="197"/>
      <c r="J59" s="197"/>
      <c r="K59" s="633"/>
      <c r="L59" s="210"/>
      <c r="M59" s="215"/>
      <c r="N59" s="899"/>
      <c r="O59" s="215"/>
    </row>
    <row r="60" spans="1:15" ht="21" customHeight="1" x14ac:dyDescent="0.25">
      <c r="A60" s="878" t="s">
        <v>2101</v>
      </c>
      <c r="B60" s="198" t="s">
        <v>166</v>
      </c>
      <c r="C60" s="199" t="s">
        <v>91</v>
      </c>
      <c r="D60" s="184" t="s">
        <v>92</v>
      </c>
      <c r="E60" s="294" t="s">
        <v>167</v>
      </c>
      <c r="F60" s="188" t="s">
        <v>168</v>
      </c>
      <c r="G60" s="285">
        <v>70731</v>
      </c>
      <c r="H60" s="318" t="s">
        <v>109</v>
      </c>
      <c r="I60" s="200">
        <v>200000</v>
      </c>
      <c r="J60" s="200"/>
      <c r="K60" s="633"/>
      <c r="L60" s="222"/>
      <c r="M60" s="311"/>
      <c r="N60" s="899"/>
      <c r="O60" s="901"/>
    </row>
    <row r="61" spans="1:15" ht="21" customHeight="1" x14ac:dyDescent="0.25">
      <c r="A61" s="878" t="s">
        <v>2100</v>
      </c>
      <c r="B61" s="198" t="s">
        <v>169</v>
      </c>
      <c r="C61" s="199" t="s">
        <v>91</v>
      </c>
      <c r="D61" s="184" t="s">
        <v>92</v>
      </c>
      <c r="E61" s="294" t="s">
        <v>167</v>
      </c>
      <c r="F61" s="188" t="s">
        <v>168</v>
      </c>
      <c r="G61" s="285">
        <v>70731</v>
      </c>
      <c r="H61" s="318" t="s">
        <v>109</v>
      </c>
      <c r="I61" s="200">
        <v>5000000</v>
      </c>
      <c r="J61" s="201">
        <v>296118456.57582611</v>
      </c>
      <c r="K61" s="633"/>
      <c r="L61" s="202"/>
      <c r="M61" s="907"/>
      <c r="N61" s="899"/>
      <c r="O61" s="901"/>
    </row>
    <row r="62" spans="1:15" ht="21" customHeight="1" x14ac:dyDescent="0.25">
      <c r="A62" s="878" t="s">
        <v>2102</v>
      </c>
      <c r="B62" s="198" t="s">
        <v>170</v>
      </c>
      <c r="C62" s="199" t="s">
        <v>91</v>
      </c>
      <c r="D62" s="184" t="s">
        <v>92</v>
      </c>
      <c r="E62" s="294" t="s">
        <v>167</v>
      </c>
      <c r="F62" s="188" t="s">
        <v>171</v>
      </c>
      <c r="G62" s="285">
        <v>70731</v>
      </c>
      <c r="H62" s="318" t="s">
        <v>109</v>
      </c>
      <c r="I62" s="200">
        <v>100000</v>
      </c>
      <c r="J62" s="233">
        <v>0</v>
      </c>
      <c r="K62" s="633"/>
      <c r="L62" s="205"/>
      <c r="M62" s="311"/>
      <c r="N62" s="899"/>
      <c r="O62" s="903"/>
    </row>
    <row r="63" spans="1:15" ht="21" customHeight="1" x14ac:dyDescent="0.25">
      <c r="A63" s="878" t="s">
        <v>2098</v>
      </c>
      <c r="B63" s="198" t="s">
        <v>172</v>
      </c>
      <c r="C63" s="199" t="s">
        <v>91</v>
      </c>
      <c r="D63" s="184" t="s">
        <v>92</v>
      </c>
      <c r="E63" s="294" t="s">
        <v>167</v>
      </c>
      <c r="F63" s="188" t="s">
        <v>171</v>
      </c>
      <c r="G63" s="285">
        <v>70731</v>
      </c>
      <c r="H63" s="318" t="s">
        <v>109</v>
      </c>
      <c r="I63" s="200">
        <v>2000000</v>
      </c>
      <c r="J63" s="233">
        <v>0</v>
      </c>
      <c r="K63" s="633"/>
      <c r="L63" s="205"/>
      <c r="M63" s="311"/>
      <c r="N63" s="899"/>
      <c r="O63" s="903"/>
    </row>
    <row r="64" spans="1:15" ht="21" customHeight="1" x14ac:dyDescent="0.25">
      <c r="A64" s="878" t="s">
        <v>2103</v>
      </c>
      <c r="B64" s="198" t="s">
        <v>173</v>
      </c>
      <c r="C64" s="199" t="s">
        <v>91</v>
      </c>
      <c r="D64" s="184" t="s">
        <v>92</v>
      </c>
      <c r="E64" s="294" t="s">
        <v>167</v>
      </c>
      <c r="F64" s="188" t="s">
        <v>174</v>
      </c>
      <c r="G64" s="285">
        <v>70731</v>
      </c>
      <c r="H64" s="318" t="s">
        <v>109</v>
      </c>
      <c r="I64" s="200">
        <v>1000000</v>
      </c>
      <c r="J64" s="233">
        <v>0</v>
      </c>
      <c r="K64" s="633"/>
      <c r="L64" s="205"/>
      <c r="M64" s="908"/>
      <c r="N64" s="899"/>
      <c r="O64" s="901"/>
    </row>
    <row r="65" spans="1:15" ht="21" customHeight="1" x14ac:dyDescent="0.25">
      <c r="A65" s="878" t="s">
        <v>2100</v>
      </c>
      <c r="B65" s="198" t="s">
        <v>175</v>
      </c>
      <c r="C65" s="199" t="s">
        <v>91</v>
      </c>
      <c r="D65" s="184" t="s">
        <v>92</v>
      </c>
      <c r="E65" s="294" t="s">
        <v>167</v>
      </c>
      <c r="F65" s="188" t="s">
        <v>168</v>
      </c>
      <c r="G65" s="285">
        <v>70732</v>
      </c>
      <c r="H65" s="318" t="s">
        <v>109</v>
      </c>
      <c r="I65" s="200">
        <v>750000</v>
      </c>
      <c r="J65" s="201">
        <v>493530.76095971017</v>
      </c>
      <c r="K65" s="633"/>
      <c r="L65" s="202"/>
      <c r="M65" s="907"/>
      <c r="N65" s="899"/>
      <c r="O65" s="901"/>
    </row>
    <row r="66" spans="1:15" ht="21" customHeight="1" x14ac:dyDescent="0.25">
      <c r="A66" s="878" t="s">
        <v>2103</v>
      </c>
      <c r="B66" s="198" t="s">
        <v>176</v>
      </c>
      <c r="C66" s="199" t="s">
        <v>91</v>
      </c>
      <c r="D66" s="184" t="s">
        <v>92</v>
      </c>
      <c r="E66" s="294" t="s">
        <v>167</v>
      </c>
      <c r="F66" s="188" t="s">
        <v>174</v>
      </c>
      <c r="G66" s="285">
        <v>70731</v>
      </c>
      <c r="H66" s="318" t="s">
        <v>109</v>
      </c>
      <c r="I66" s="200">
        <v>1000000</v>
      </c>
      <c r="J66" s="233">
        <v>0</v>
      </c>
      <c r="K66" s="633"/>
      <c r="L66" s="205"/>
      <c r="M66" s="908"/>
      <c r="N66" s="899"/>
      <c r="O66" s="903"/>
    </row>
    <row r="67" spans="1:15" ht="21" customHeight="1" x14ac:dyDescent="0.25">
      <c r="A67" s="878" t="s">
        <v>2104</v>
      </c>
      <c r="B67" s="198" t="s">
        <v>177</v>
      </c>
      <c r="C67" s="199" t="s">
        <v>91</v>
      </c>
      <c r="D67" s="184" t="s">
        <v>92</v>
      </c>
      <c r="E67" s="294" t="s">
        <v>167</v>
      </c>
      <c r="F67" s="188" t="s">
        <v>178</v>
      </c>
      <c r="G67" s="285">
        <v>70731</v>
      </c>
      <c r="H67" s="318" t="s">
        <v>109</v>
      </c>
      <c r="I67" s="200">
        <v>1500000</v>
      </c>
      <c r="J67" s="233">
        <v>0</v>
      </c>
      <c r="K67" s="633"/>
      <c r="L67" s="205"/>
      <c r="M67" s="908"/>
      <c r="N67" s="899"/>
      <c r="O67" s="903"/>
    </row>
    <row r="68" spans="1:15" ht="21" customHeight="1" x14ac:dyDescent="0.25">
      <c r="A68" s="878" t="s">
        <v>2104</v>
      </c>
      <c r="B68" s="198" t="s">
        <v>179</v>
      </c>
      <c r="C68" s="199" t="s">
        <v>91</v>
      </c>
      <c r="D68" s="184" t="s">
        <v>92</v>
      </c>
      <c r="E68" s="294" t="s">
        <v>167</v>
      </c>
      <c r="F68" s="188" t="s">
        <v>178</v>
      </c>
      <c r="G68" s="285">
        <v>70731</v>
      </c>
      <c r="H68" s="318" t="s">
        <v>109</v>
      </c>
      <c r="I68" s="200">
        <v>1000000</v>
      </c>
      <c r="J68" s="201">
        <v>987061.52191942034</v>
      </c>
      <c r="K68" s="633"/>
      <c r="L68" s="202"/>
      <c r="M68" s="311"/>
      <c r="N68" s="899"/>
      <c r="O68" s="903"/>
    </row>
    <row r="69" spans="1:15" ht="21" customHeight="1" x14ac:dyDescent="0.25">
      <c r="A69" s="878" t="s">
        <v>2103</v>
      </c>
      <c r="B69" s="198" t="s">
        <v>180</v>
      </c>
      <c r="C69" s="199" t="s">
        <v>91</v>
      </c>
      <c r="D69" s="184" t="s">
        <v>92</v>
      </c>
      <c r="E69" s="294" t="s">
        <v>167</v>
      </c>
      <c r="F69" s="188" t="s">
        <v>174</v>
      </c>
      <c r="G69" s="285">
        <v>70731</v>
      </c>
      <c r="H69" s="318" t="s">
        <v>109</v>
      </c>
      <c r="I69" s="200">
        <v>4000000</v>
      </c>
      <c r="J69" s="233">
        <v>0</v>
      </c>
      <c r="K69" s="633"/>
      <c r="L69" s="205"/>
      <c r="M69" s="311"/>
      <c r="N69" s="899"/>
      <c r="O69" s="903"/>
    </row>
    <row r="70" spans="1:15" ht="21" customHeight="1" x14ac:dyDescent="0.25">
      <c r="A70" s="316"/>
      <c r="B70" s="198" t="s">
        <v>181</v>
      </c>
      <c r="C70" s="234" t="s">
        <v>91</v>
      </c>
      <c r="D70" s="188" t="s">
        <v>92</v>
      </c>
      <c r="E70" s="294" t="s">
        <v>167</v>
      </c>
      <c r="F70" s="184" t="s">
        <v>168</v>
      </c>
      <c r="G70" s="285">
        <v>70740</v>
      </c>
      <c r="H70" s="318" t="s">
        <v>109</v>
      </c>
      <c r="I70" s="200">
        <v>1000000</v>
      </c>
      <c r="J70" s="233">
        <v>0</v>
      </c>
      <c r="K70" s="633"/>
      <c r="L70" s="205"/>
      <c r="M70" s="902"/>
      <c r="N70" s="899"/>
      <c r="O70" s="903"/>
    </row>
    <row r="71" spans="1:15" ht="21" customHeight="1" x14ac:dyDescent="0.25">
      <c r="A71" s="878" t="s">
        <v>2102</v>
      </c>
      <c r="B71" s="198" t="s">
        <v>182</v>
      </c>
      <c r="C71" s="234"/>
      <c r="D71" s="188"/>
      <c r="E71" s="294"/>
      <c r="F71" s="184"/>
      <c r="G71" s="285"/>
      <c r="H71" s="318"/>
      <c r="I71" s="200"/>
      <c r="J71" s="201">
        <v>197412.30042327024</v>
      </c>
      <c r="K71" s="633"/>
      <c r="L71" s="202"/>
      <c r="M71" s="901"/>
      <c r="N71" s="899"/>
      <c r="O71" s="903"/>
    </row>
    <row r="72" spans="1:15" ht="21" customHeight="1" x14ac:dyDescent="0.25">
      <c r="A72" s="316"/>
      <c r="B72" s="888" t="s">
        <v>117</v>
      </c>
      <c r="C72" s="235"/>
      <c r="D72" s="188"/>
      <c r="E72" s="294"/>
      <c r="F72" s="184"/>
      <c r="G72" s="285"/>
      <c r="H72" s="318"/>
      <c r="I72" s="206">
        <f>SUM(I60:I71)</f>
        <v>17550000</v>
      </c>
      <c r="J72" s="206">
        <f>SUM(J60:J71)</f>
        <v>297796461.15912849</v>
      </c>
      <c r="K72" s="633"/>
      <c r="L72" s="207"/>
      <c r="M72" s="902"/>
      <c r="N72" s="899"/>
      <c r="O72" s="269"/>
    </row>
    <row r="73" spans="1:15" ht="57" customHeight="1" x14ac:dyDescent="0.25">
      <c r="A73" s="650"/>
      <c r="B73" s="651">
        <v>9</v>
      </c>
      <c r="C73" s="236"/>
      <c r="D73" s="221"/>
      <c r="E73" s="655"/>
      <c r="F73" s="220"/>
      <c r="G73" s="661"/>
      <c r="H73" s="656"/>
      <c r="I73" s="222"/>
      <c r="J73" s="222"/>
      <c r="K73" s="633"/>
      <c r="L73" s="222"/>
      <c r="M73" s="902"/>
      <c r="N73" s="899"/>
      <c r="O73" s="269"/>
    </row>
    <row r="74" spans="1:15" ht="18" customHeight="1" x14ac:dyDescent="0.25">
      <c r="A74" s="662"/>
      <c r="B74" s="237" t="s">
        <v>183</v>
      </c>
      <c r="C74" s="663"/>
      <c r="D74" s="238"/>
      <c r="E74" s="238"/>
      <c r="F74" s="238"/>
      <c r="G74" s="238"/>
      <c r="H74" s="238"/>
      <c r="I74" s="239"/>
      <c r="J74" s="239"/>
      <c r="K74" s="633"/>
      <c r="L74" s="210"/>
      <c r="M74" s="215"/>
      <c r="N74" s="899"/>
      <c r="O74" s="215"/>
    </row>
    <row r="75" spans="1:15" ht="18" customHeight="1" x14ac:dyDescent="0.25">
      <c r="A75" s="878" t="s">
        <v>2105</v>
      </c>
      <c r="B75" s="240" t="s">
        <v>184</v>
      </c>
      <c r="C75" s="241" t="s">
        <v>91</v>
      </c>
      <c r="D75" s="242" t="s">
        <v>92</v>
      </c>
      <c r="E75" s="665" t="s">
        <v>185</v>
      </c>
      <c r="F75" s="242" t="s">
        <v>186</v>
      </c>
      <c r="G75" s="243">
        <v>70320</v>
      </c>
      <c r="H75" s="666" t="s">
        <v>109</v>
      </c>
      <c r="I75" s="244">
        <v>50000000</v>
      </c>
      <c r="J75" s="244"/>
      <c r="K75" s="633"/>
      <c r="L75" s="222"/>
      <c r="M75" s="908"/>
      <c r="N75" s="899"/>
      <c r="O75" s="901"/>
    </row>
    <row r="76" spans="1:15" ht="18" customHeight="1" x14ac:dyDescent="0.25">
      <c r="A76" s="662"/>
      <c r="B76" s="237" t="s">
        <v>187</v>
      </c>
      <c r="C76" s="663"/>
      <c r="D76" s="238"/>
      <c r="E76" s="238"/>
      <c r="F76" s="238"/>
      <c r="G76" s="238"/>
      <c r="H76" s="238"/>
      <c r="I76" s="239"/>
      <c r="J76" s="239"/>
      <c r="K76" s="633"/>
      <c r="L76" s="210"/>
      <c r="M76" s="215"/>
      <c r="N76" s="899"/>
      <c r="O76" s="215"/>
    </row>
    <row r="77" spans="1:15" ht="18" customHeight="1" x14ac:dyDescent="0.25">
      <c r="A77" s="878" t="s">
        <v>2106</v>
      </c>
      <c r="B77" s="198" t="s">
        <v>188</v>
      </c>
      <c r="C77" s="234" t="s">
        <v>91</v>
      </c>
      <c r="D77" s="188" t="s">
        <v>92</v>
      </c>
      <c r="E77" s="225" t="s">
        <v>189</v>
      </c>
      <c r="F77" s="184" t="s">
        <v>190</v>
      </c>
      <c r="G77" s="285">
        <v>70941</v>
      </c>
      <c r="H77" s="318" t="s">
        <v>109</v>
      </c>
      <c r="I77" s="200">
        <v>1170895</v>
      </c>
      <c r="J77" s="200"/>
      <c r="K77" s="633"/>
      <c r="L77" s="222"/>
      <c r="M77" s="907"/>
      <c r="N77" s="899"/>
      <c r="O77" s="903"/>
    </row>
    <row r="78" spans="1:15" ht="18" customHeight="1" x14ac:dyDescent="0.25">
      <c r="A78" s="878" t="s">
        <v>2106</v>
      </c>
      <c r="B78" s="198" t="s">
        <v>191</v>
      </c>
      <c r="C78" s="234" t="s">
        <v>91</v>
      </c>
      <c r="D78" s="188" t="s">
        <v>92</v>
      </c>
      <c r="E78" s="225" t="s">
        <v>189</v>
      </c>
      <c r="F78" s="184" t="s">
        <v>190</v>
      </c>
      <c r="G78" s="285">
        <v>70941</v>
      </c>
      <c r="H78" s="318" t="s">
        <v>109</v>
      </c>
      <c r="I78" s="200">
        <v>500000</v>
      </c>
      <c r="J78" s="201"/>
      <c r="K78" s="633"/>
      <c r="L78" s="202"/>
      <c r="M78" s="908"/>
      <c r="N78" s="899"/>
      <c r="O78" s="901"/>
    </row>
    <row r="79" spans="1:15" ht="18" customHeight="1" x14ac:dyDescent="0.25">
      <c r="A79" s="878" t="s">
        <v>2107</v>
      </c>
      <c r="B79" s="198" t="s">
        <v>192</v>
      </c>
      <c r="C79" s="234" t="s">
        <v>91</v>
      </c>
      <c r="D79" s="188" t="s">
        <v>92</v>
      </c>
      <c r="E79" s="225" t="s">
        <v>189</v>
      </c>
      <c r="F79" s="184" t="s">
        <v>193</v>
      </c>
      <c r="G79" s="285">
        <v>70941</v>
      </c>
      <c r="H79" s="318" t="s">
        <v>109</v>
      </c>
      <c r="I79" s="200">
        <v>439085</v>
      </c>
      <c r="J79" s="200"/>
      <c r="K79" s="633"/>
      <c r="L79" s="222"/>
      <c r="M79" s="908"/>
      <c r="N79" s="899"/>
      <c r="O79" s="903"/>
    </row>
    <row r="80" spans="1:15" ht="18" customHeight="1" x14ac:dyDescent="0.25">
      <c r="A80" s="878" t="s">
        <v>2107</v>
      </c>
      <c r="B80" s="198" t="s">
        <v>194</v>
      </c>
      <c r="C80" s="234" t="s">
        <v>91</v>
      </c>
      <c r="D80" s="188" t="s">
        <v>92</v>
      </c>
      <c r="E80" s="225" t="s">
        <v>189</v>
      </c>
      <c r="F80" s="184" t="s">
        <v>193</v>
      </c>
      <c r="G80" s="285">
        <v>70941</v>
      </c>
      <c r="H80" s="318" t="s">
        <v>109</v>
      </c>
      <c r="I80" s="200">
        <v>487873</v>
      </c>
      <c r="J80" s="200"/>
      <c r="K80" s="633"/>
      <c r="L80" s="222"/>
      <c r="M80" s="907"/>
      <c r="N80" s="899"/>
      <c r="O80" s="903"/>
    </row>
    <row r="81" spans="1:15" ht="18" customHeight="1" x14ac:dyDescent="0.25">
      <c r="A81" s="878" t="s">
        <v>2103</v>
      </c>
      <c r="B81" s="198" t="s">
        <v>195</v>
      </c>
      <c r="C81" s="234" t="s">
        <v>91</v>
      </c>
      <c r="D81" s="188" t="s">
        <v>92</v>
      </c>
      <c r="E81" s="225" t="s">
        <v>189</v>
      </c>
      <c r="F81" s="184" t="s">
        <v>174</v>
      </c>
      <c r="G81" s="285">
        <v>70941</v>
      </c>
      <c r="H81" s="318" t="s">
        <v>109</v>
      </c>
      <c r="I81" s="200">
        <v>1209925</v>
      </c>
      <c r="J81" s="200"/>
      <c r="K81" s="633"/>
      <c r="L81" s="222"/>
      <c r="M81" s="908"/>
      <c r="N81" s="899"/>
      <c r="O81" s="901"/>
    </row>
    <row r="82" spans="1:15" ht="18" customHeight="1" x14ac:dyDescent="0.25">
      <c r="A82" s="878" t="s">
        <v>2103</v>
      </c>
      <c r="B82" s="198" t="s">
        <v>195</v>
      </c>
      <c r="C82" s="234"/>
      <c r="D82" s="188"/>
      <c r="E82" s="225"/>
      <c r="F82" s="184"/>
      <c r="G82" s="285"/>
      <c r="H82" s="318"/>
      <c r="I82" s="200"/>
      <c r="J82" s="200"/>
      <c r="K82" s="633"/>
      <c r="L82" s="222"/>
      <c r="M82" s="908"/>
      <c r="N82" s="899"/>
      <c r="O82" s="901"/>
    </row>
    <row r="83" spans="1:15" ht="18" customHeight="1" x14ac:dyDescent="0.25">
      <c r="A83" s="878" t="s">
        <v>2101</v>
      </c>
      <c r="B83" s="198" t="s">
        <v>196</v>
      </c>
      <c r="C83" s="234" t="s">
        <v>91</v>
      </c>
      <c r="D83" s="188" t="s">
        <v>92</v>
      </c>
      <c r="E83" s="225" t="s">
        <v>189</v>
      </c>
      <c r="F83" s="184" t="s">
        <v>190</v>
      </c>
      <c r="G83" s="285">
        <v>70941</v>
      </c>
      <c r="H83" s="318" t="s">
        <v>109</v>
      </c>
      <c r="I83" s="200">
        <v>200000</v>
      </c>
      <c r="J83" s="200"/>
      <c r="K83" s="633"/>
      <c r="L83" s="222"/>
      <c r="M83" s="908"/>
      <c r="N83" s="899"/>
      <c r="O83" s="901"/>
    </row>
    <row r="84" spans="1:15" ht="18" customHeight="1" x14ac:dyDescent="0.25">
      <c r="A84" s="664"/>
      <c r="B84" s="245" t="s">
        <v>117</v>
      </c>
      <c r="C84" s="241"/>
      <c r="D84" s="242"/>
      <c r="E84" s="246"/>
      <c r="F84" s="252"/>
      <c r="G84" s="243"/>
      <c r="H84" s="666"/>
      <c r="I84" s="247">
        <f>SUM(I77:I83)</f>
        <v>4007778</v>
      </c>
      <c r="J84" s="248">
        <f>SUM(J77:J83)</f>
        <v>0</v>
      </c>
      <c r="K84" s="633"/>
      <c r="L84" s="205"/>
      <c r="M84" s="908"/>
      <c r="N84" s="899"/>
      <c r="O84" s="901"/>
    </row>
    <row r="85" spans="1:15" ht="18" customHeight="1" x14ac:dyDescent="0.25">
      <c r="A85" s="662"/>
      <c r="B85" s="237" t="s">
        <v>197</v>
      </c>
      <c r="C85" s="663"/>
      <c r="D85" s="238"/>
      <c r="E85" s="238"/>
      <c r="F85" s="238"/>
      <c r="G85" s="238"/>
      <c r="H85" s="238"/>
      <c r="I85" s="239"/>
      <c r="J85" s="239"/>
      <c r="K85" s="633"/>
      <c r="L85" s="210"/>
      <c r="M85" s="215"/>
      <c r="N85" s="899"/>
      <c r="O85" s="215"/>
    </row>
    <row r="86" spans="1:15" ht="18" customHeight="1" x14ac:dyDescent="0.25">
      <c r="A86" s="878" t="s">
        <v>2101</v>
      </c>
      <c r="B86" s="198" t="s">
        <v>198</v>
      </c>
      <c r="C86" s="234" t="s">
        <v>91</v>
      </c>
      <c r="D86" s="188" t="s">
        <v>92</v>
      </c>
      <c r="E86" s="294" t="s">
        <v>199</v>
      </c>
      <c r="F86" s="184" t="s">
        <v>200</v>
      </c>
      <c r="G86" s="285">
        <v>70411</v>
      </c>
      <c r="H86" s="318" t="s">
        <v>109</v>
      </c>
      <c r="I86" s="226">
        <v>90000000</v>
      </c>
      <c r="J86" s="226"/>
      <c r="K86" s="633"/>
      <c r="L86" s="227"/>
      <c r="M86" s="901"/>
      <c r="N86" s="899"/>
      <c r="O86" s="901"/>
    </row>
    <row r="87" spans="1:15" ht="18" customHeight="1" x14ac:dyDescent="0.25">
      <c r="A87" s="878" t="s">
        <v>2108</v>
      </c>
      <c r="B87" s="198" t="s">
        <v>201</v>
      </c>
      <c r="C87" s="234" t="s">
        <v>91</v>
      </c>
      <c r="D87" s="188" t="s">
        <v>92</v>
      </c>
      <c r="E87" s="294" t="s">
        <v>199</v>
      </c>
      <c r="F87" s="188" t="s">
        <v>202</v>
      </c>
      <c r="G87" s="285">
        <v>70411</v>
      </c>
      <c r="H87" s="318" t="s">
        <v>109</v>
      </c>
      <c r="I87" s="200">
        <v>9000000</v>
      </c>
      <c r="J87" s="200"/>
      <c r="K87" s="633"/>
      <c r="L87" s="222"/>
      <c r="M87" s="909"/>
      <c r="N87" s="899"/>
      <c r="O87" s="903"/>
    </row>
    <row r="88" spans="1:15" ht="18" customHeight="1" x14ac:dyDescent="0.25">
      <c r="A88" s="664"/>
      <c r="B88" s="245" t="s">
        <v>117</v>
      </c>
      <c r="C88" s="241"/>
      <c r="D88" s="242"/>
      <c r="E88" s="665"/>
      <c r="F88" s="242"/>
      <c r="G88" s="243"/>
      <c r="H88" s="666"/>
      <c r="I88" s="249">
        <f>SUM(I86:I87)</f>
        <v>99000000</v>
      </c>
      <c r="J88" s="249">
        <f>SUM(J86:J87)</f>
        <v>0</v>
      </c>
      <c r="K88" s="633"/>
      <c r="L88" s="250"/>
      <c r="M88" s="909"/>
      <c r="N88" s="899"/>
      <c r="O88" s="903"/>
    </row>
    <row r="89" spans="1:15" ht="18" customHeight="1" x14ac:dyDescent="0.25">
      <c r="A89" s="662"/>
      <c r="B89" s="237" t="s">
        <v>203</v>
      </c>
      <c r="C89" s="663"/>
      <c r="D89" s="238"/>
      <c r="E89" s="238"/>
      <c r="F89" s="238"/>
      <c r="G89" s="238"/>
      <c r="H89" s="238"/>
      <c r="I89" s="239"/>
      <c r="J89" s="239"/>
      <c r="K89" s="633"/>
      <c r="L89" s="210"/>
      <c r="M89" s="215"/>
      <c r="N89" s="899"/>
      <c r="O89" s="215"/>
    </row>
    <row r="90" spans="1:15" ht="18" customHeight="1" x14ac:dyDescent="0.25">
      <c r="A90" s="878" t="s">
        <v>2109</v>
      </c>
      <c r="B90" s="198" t="s">
        <v>204</v>
      </c>
      <c r="C90" s="199" t="s">
        <v>91</v>
      </c>
      <c r="D90" s="184" t="s">
        <v>92</v>
      </c>
      <c r="E90" s="294" t="s">
        <v>205</v>
      </c>
      <c r="F90" s="188" t="s">
        <v>206</v>
      </c>
      <c r="G90" s="285">
        <v>70540</v>
      </c>
      <c r="H90" s="318" t="s">
        <v>109</v>
      </c>
      <c r="I90" s="200">
        <v>3000000</v>
      </c>
      <c r="J90" s="201">
        <v>2970460.3629243579</v>
      </c>
      <c r="K90" s="633"/>
      <c r="L90" s="202"/>
      <c r="M90" s="907"/>
      <c r="N90" s="899"/>
      <c r="O90" s="901"/>
    </row>
    <row r="91" spans="1:15" ht="18" customHeight="1" x14ac:dyDescent="0.25">
      <c r="A91" s="878" t="s">
        <v>2110</v>
      </c>
      <c r="B91" s="198" t="s">
        <v>207</v>
      </c>
      <c r="C91" s="199" t="s">
        <v>91</v>
      </c>
      <c r="D91" s="184" t="s">
        <v>92</v>
      </c>
      <c r="E91" s="294" t="s">
        <v>205</v>
      </c>
      <c r="F91" s="188" t="s">
        <v>208</v>
      </c>
      <c r="G91" s="285">
        <v>70540</v>
      </c>
      <c r="H91" s="318" t="s">
        <v>109</v>
      </c>
      <c r="I91" s="200">
        <v>2000000</v>
      </c>
      <c r="J91" s="201">
        <v>2079322.2540470504</v>
      </c>
      <c r="K91" s="633"/>
      <c r="L91" s="202"/>
      <c r="M91" s="908"/>
      <c r="N91" s="899"/>
      <c r="O91" s="901"/>
    </row>
    <row r="92" spans="1:15" ht="18" customHeight="1" x14ac:dyDescent="0.25">
      <c r="A92" s="878" t="s">
        <v>2111</v>
      </c>
      <c r="B92" s="198" t="s">
        <v>209</v>
      </c>
      <c r="C92" s="199" t="s">
        <v>91</v>
      </c>
      <c r="D92" s="184" t="s">
        <v>92</v>
      </c>
      <c r="E92" s="294" t="s">
        <v>205</v>
      </c>
      <c r="F92" s="188" t="s">
        <v>210</v>
      </c>
      <c r="G92" s="285">
        <v>70540</v>
      </c>
      <c r="H92" s="318" t="s">
        <v>109</v>
      </c>
      <c r="I92" s="200">
        <v>2000000</v>
      </c>
      <c r="J92" s="201">
        <v>1980306.9086162385</v>
      </c>
      <c r="K92" s="633"/>
      <c r="L92" s="202"/>
      <c r="M92" s="908"/>
      <c r="N92" s="899"/>
      <c r="O92" s="901"/>
    </row>
    <row r="93" spans="1:15" ht="18" customHeight="1" x14ac:dyDescent="0.25">
      <c r="A93" s="878" t="s">
        <v>2112</v>
      </c>
      <c r="B93" s="198" t="s">
        <v>211</v>
      </c>
      <c r="C93" s="199" t="s">
        <v>91</v>
      </c>
      <c r="D93" s="184" t="s">
        <v>92</v>
      </c>
      <c r="E93" s="294" t="s">
        <v>205</v>
      </c>
      <c r="F93" s="188" t="s">
        <v>212</v>
      </c>
      <c r="G93" s="285">
        <v>70540</v>
      </c>
      <c r="H93" s="318" t="s">
        <v>109</v>
      </c>
      <c r="I93" s="200">
        <v>1350000</v>
      </c>
      <c r="J93" s="201">
        <v>1336707.1633159611</v>
      </c>
      <c r="K93" s="633"/>
      <c r="L93" s="202"/>
      <c r="M93" s="908"/>
      <c r="N93" s="899"/>
      <c r="O93" s="901"/>
    </row>
    <row r="94" spans="1:15" ht="18" customHeight="1" x14ac:dyDescent="0.25">
      <c r="A94" s="878" t="s">
        <v>2113</v>
      </c>
      <c r="B94" s="198" t="s">
        <v>213</v>
      </c>
      <c r="C94" s="199" t="s">
        <v>91</v>
      </c>
      <c r="D94" s="184" t="s">
        <v>92</v>
      </c>
      <c r="E94" s="294" t="s">
        <v>205</v>
      </c>
      <c r="F94" s="188" t="s">
        <v>214</v>
      </c>
      <c r="G94" s="285">
        <v>70540</v>
      </c>
      <c r="H94" s="318" t="s">
        <v>109</v>
      </c>
      <c r="I94" s="200">
        <v>9757459</v>
      </c>
      <c r="J94" s="201">
        <v>9661381.7341198456</v>
      </c>
      <c r="K94" s="633"/>
      <c r="L94" s="202"/>
      <c r="M94" s="907"/>
      <c r="N94" s="899"/>
      <c r="O94" s="901"/>
    </row>
    <row r="95" spans="1:15" ht="18" customHeight="1" x14ac:dyDescent="0.25">
      <c r="A95" s="664"/>
      <c r="B95" s="245" t="s">
        <v>117</v>
      </c>
      <c r="C95" s="251"/>
      <c r="D95" s="252"/>
      <c r="E95" s="665"/>
      <c r="F95" s="242"/>
      <c r="G95" s="243"/>
      <c r="H95" s="666"/>
      <c r="I95" s="253">
        <f>SUM(I90:I94)</f>
        <v>18107459</v>
      </c>
      <c r="J95" s="253">
        <f>SUM(J90:J94)</f>
        <v>18028178.423023455</v>
      </c>
      <c r="K95" s="633"/>
      <c r="L95" s="213"/>
      <c r="M95" s="908"/>
      <c r="N95" s="899"/>
      <c r="O95" s="269"/>
    </row>
    <row r="96" spans="1:15" ht="18" customHeight="1" x14ac:dyDescent="0.25">
      <c r="A96" s="316"/>
      <c r="B96" s="223" t="s">
        <v>215</v>
      </c>
      <c r="C96" s="663"/>
      <c r="D96" s="224"/>
      <c r="E96" s="224"/>
      <c r="F96" s="224"/>
      <c r="G96" s="224"/>
      <c r="H96" s="224"/>
      <c r="I96" s="197"/>
      <c r="J96" s="197"/>
      <c r="K96" s="633"/>
      <c r="L96" s="210"/>
      <c r="M96" s="215"/>
      <c r="N96" s="899"/>
      <c r="O96" s="215"/>
    </row>
    <row r="97" spans="1:15" ht="18" customHeight="1" x14ac:dyDescent="0.25">
      <c r="B97" s="211" t="s">
        <v>216</v>
      </c>
      <c r="C97" s="230"/>
      <c r="D97" s="231"/>
      <c r="E97" s="657"/>
      <c r="F97" s="658"/>
      <c r="G97" s="231"/>
      <c r="H97" s="658"/>
      <c r="I97" s="659"/>
      <c r="J97" s="659"/>
      <c r="K97" s="633"/>
      <c r="L97" s="229"/>
      <c r="M97" s="910"/>
      <c r="N97" s="899"/>
      <c r="O97" s="910"/>
    </row>
    <row r="98" spans="1:15" ht="18" customHeight="1" x14ac:dyDescent="0.25">
      <c r="A98" s="878" t="s">
        <v>2106</v>
      </c>
      <c r="B98" s="198" t="s">
        <v>217</v>
      </c>
      <c r="C98" s="234" t="s">
        <v>91</v>
      </c>
      <c r="D98" s="188" t="s">
        <v>92</v>
      </c>
      <c r="E98" s="667" t="s">
        <v>218</v>
      </c>
      <c r="F98" s="184" t="s">
        <v>190</v>
      </c>
      <c r="G98" s="285">
        <v>70922</v>
      </c>
      <c r="H98" s="318" t="s">
        <v>109</v>
      </c>
      <c r="I98" s="200">
        <v>270000000</v>
      </c>
      <c r="J98" s="200">
        <v>26734143.266319223</v>
      </c>
      <c r="K98" s="633"/>
      <c r="L98" s="222"/>
      <c r="M98" s="901"/>
      <c r="N98" s="899"/>
      <c r="O98" s="901"/>
    </row>
    <row r="99" spans="1:15" ht="18" customHeight="1" x14ac:dyDescent="0.25">
      <c r="A99" s="316"/>
      <c r="B99" s="223" t="s">
        <v>219</v>
      </c>
      <c r="C99" s="316"/>
      <c r="D99" s="224"/>
      <c r="E99" s="224"/>
      <c r="F99" s="224"/>
      <c r="G99" s="224"/>
      <c r="H99" s="224"/>
      <c r="I99" s="197"/>
      <c r="J99" s="197"/>
      <c r="K99" s="633"/>
      <c r="L99" s="207"/>
      <c r="M99" s="215"/>
      <c r="N99" s="899"/>
      <c r="O99" s="215"/>
    </row>
    <row r="100" spans="1:15" ht="18" customHeight="1" x14ac:dyDescent="0.25">
      <c r="A100" s="878" t="s">
        <v>2112</v>
      </c>
      <c r="B100" s="198" t="s">
        <v>220</v>
      </c>
      <c r="C100" s="199" t="s">
        <v>91</v>
      </c>
      <c r="D100" s="184" t="s">
        <v>92</v>
      </c>
      <c r="E100" s="225" t="s">
        <v>221</v>
      </c>
      <c r="F100" s="184" t="s">
        <v>212</v>
      </c>
      <c r="G100" s="285">
        <v>70560</v>
      </c>
      <c r="H100" s="318" t="s">
        <v>109</v>
      </c>
      <c r="I100" s="201">
        <v>1000000</v>
      </c>
      <c r="J100" s="254">
        <v>990153.45430811925</v>
      </c>
      <c r="K100" s="633"/>
      <c r="L100" s="202"/>
      <c r="M100" s="908"/>
      <c r="N100" s="899"/>
      <c r="O100" s="901"/>
    </row>
    <row r="101" spans="1:15" ht="50.25" customHeight="1" x14ac:dyDescent="0.25">
      <c r="A101" s="650"/>
      <c r="B101" s="651">
        <v>10</v>
      </c>
      <c r="C101" s="255"/>
      <c r="D101" s="220"/>
      <c r="E101" s="256"/>
      <c r="F101" s="220"/>
      <c r="G101" s="661"/>
      <c r="H101" s="656"/>
      <c r="I101" s="202"/>
      <c r="J101" s="257"/>
      <c r="K101" s="633"/>
      <c r="M101" s="908"/>
      <c r="N101" s="899"/>
      <c r="O101" s="269"/>
    </row>
    <row r="102" spans="1:15" ht="21" customHeight="1" x14ac:dyDescent="0.25">
      <c r="A102" s="316"/>
      <c r="B102" s="223" t="s">
        <v>222</v>
      </c>
      <c r="C102" s="316"/>
      <c r="D102" s="224"/>
      <c r="E102" s="224"/>
      <c r="F102" s="224"/>
      <c r="G102" s="224"/>
      <c r="H102" s="224"/>
      <c r="I102" s="197"/>
      <c r="J102" s="197"/>
      <c r="K102" s="633"/>
      <c r="M102" s="215"/>
      <c r="N102" s="899"/>
      <c r="O102" s="215"/>
    </row>
    <row r="103" spans="1:15" ht="21" customHeight="1" x14ac:dyDescent="0.25">
      <c r="A103" s="878" t="s">
        <v>2114</v>
      </c>
      <c r="B103" s="198" t="s">
        <v>223</v>
      </c>
      <c r="C103" s="199" t="s">
        <v>91</v>
      </c>
      <c r="D103" s="184" t="s">
        <v>92</v>
      </c>
      <c r="E103" s="294" t="s">
        <v>224</v>
      </c>
      <c r="F103" s="188" t="s">
        <v>225</v>
      </c>
      <c r="G103" s="285">
        <v>70411</v>
      </c>
      <c r="H103" s="318" t="s">
        <v>109</v>
      </c>
      <c r="I103" s="200">
        <v>60000000</v>
      </c>
      <c r="J103" s="201">
        <v>59409207.25848715</v>
      </c>
      <c r="K103" s="633"/>
      <c r="L103" s="202"/>
      <c r="M103" s="311"/>
      <c r="N103" s="899"/>
      <c r="O103" s="901"/>
    </row>
    <row r="104" spans="1:15" ht="21" customHeight="1" x14ac:dyDescent="0.25">
      <c r="A104" s="878" t="s">
        <v>2115</v>
      </c>
      <c r="B104" s="198" t="s">
        <v>226</v>
      </c>
      <c r="C104" s="199" t="s">
        <v>91</v>
      </c>
      <c r="D104" s="184" t="s">
        <v>92</v>
      </c>
      <c r="E104" s="294" t="s">
        <v>224</v>
      </c>
      <c r="F104" s="188" t="s">
        <v>227</v>
      </c>
      <c r="G104" s="285">
        <v>70411</v>
      </c>
      <c r="H104" s="318" t="s">
        <v>109</v>
      </c>
      <c r="I104" s="319">
        <v>10400</v>
      </c>
      <c r="J104" s="201">
        <v>99015345.430811927</v>
      </c>
      <c r="K104" s="633"/>
      <c r="L104" s="202"/>
      <c r="M104" s="311"/>
      <c r="N104" s="899"/>
      <c r="O104" s="901"/>
    </row>
    <row r="105" spans="1:15" ht="21" customHeight="1" x14ac:dyDescent="0.25">
      <c r="A105" s="316"/>
      <c r="B105" s="888" t="s">
        <v>117</v>
      </c>
      <c r="C105" s="230"/>
      <c r="D105" s="184"/>
      <c r="E105" s="294"/>
      <c r="F105" s="188"/>
      <c r="G105" s="285"/>
      <c r="H105" s="318"/>
      <c r="I105" s="212">
        <f>SUM(I103:I104)</f>
        <v>60010400</v>
      </c>
      <c r="J105" s="212">
        <f>SUM(J103:J104)</f>
        <v>158424552.68929908</v>
      </c>
      <c r="K105" s="633"/>
      <c r="L105" s="213"/>
      <c r="M105" s="311"/>
      <c r="N105" s="899"/>
      <c r="O105" s="269"/>
    </row>
    <row r="106" spans="1:15" ht="21" customHeight="1" x14ac:dyDescent="0.25">
      <c r="A106" s="316"/>
      <c r="B106" s="223" t="s">
        <v>228</v>
      </c>
      <c r="C106" s="316"/>
      <c r="D106" s="224"/>
      <c r="E106" s="224"/>
      <c r="F106" s="224"/>
      <c r="G106" s="224"/>
      <c r="H106" s="224"/>
      <c r="I106" s="197"/>
      <c r="J106" s="197"/>
      <c r="K106" s="633"/>
      <c r="L106" s="210"/>
      <c r="M106" s="215"/>
      <c r="N106" s="899"/>
      <c r="O106" s="215"/>
    </row>
    <row r="107" spans="1:15" ht="21" customHeight="1" x14ac:dyDescent="0.25">
      <c r="A107" s="878" t="s">
        <v>2101</v>
      </c>
      <c r="B107" s="198" t="s">
        <v>229</v>
      </c>
      <c r="C107" s="199" t="s">
        <v>91</v>
      </c>
      <c r="D107" s="184" t="s">
        <v>92</v>
      </c>
      <c r="E107" s="294" t="s">
        <v>230</v>
      </c>
      <c r="F107" s="184" t="s">
        <v>200</v>
      </c>
      <c r="G107" s="285">
        <v>70451</v>
      </c>
      <c r="H107" s="318" t="s">
        <v>109</v>
      </c>
      <c r="I107" s="258">
        <v>1000000</v>
      </c>
      <c r="J107" s="259">
        <v>990153.45430811925</v>
      </c>
      <c r="K107" s="633"/>
      <c r="L107" s="260"/>
      <c r="M107" s="908"/>
      <c r="N107" s="899"/>
      <c r="O107" s="911"/>
    </row>
    <row r="108" spans="1:15" ht="21" customHeight="1" x14ac:dyDescent="0.25">
      <c r="A108" s="878" t="s">
        <v>2103</v>
      </c>
      <c r="B108" s="198" t="s">
        <v>231</v>
      </c>
      <c r="C108" s="199" t="s">
        <v>91</v>
      </c>
      <c r="D108" s="184" t="s">
        <v>92</v>
      </c>
      <c r="E108" s="294" t="s">
        <v>230</v>
      </c>
      <c r="F108" s="184" t="s">
        <v>174</v>
      </c>
      <c r="G108" s="285">
        <v>70451</v>
      </c>
      <c r="H108" s="318" t="s">
        <v>109</v>
      </c>
      <c r="I108" s="258">
        <v>1000000</v>
      </c>
      <c r="J108" s="259">
        <v>990153.45430811925</v>
      </c>
      <c r="K108" s="633"/>
      <c r="L108" s="260"/>
      <c r="M108" s="908"/>
      <c r="N108" s="899"/>
      <c r="O108" s="911"/>
    </row>
    <row r="109" spans="1:15" ht="21" customHeight="1" x14ac:dyDescent="0.25">
      <c r="A109" s="878" t="s">
        <v>2115</v>
      </c>
      <c r="B109" s="198" t="s">
        <v>232</v>
      </c>
      <c r="C109" s="199" t="s">
        <v>91</v>
      </c>
      <c r="D109" s="184" t="s">
        <v>92</v>
      </c>
      <c r="E109" s="294" t="s">
        <v>230</v>
      </c>
      <c r="F109" s="184" t="s">
        <v>227</v>
      </c>
      <c r="G109" s="285">
        <v>70451</v>
      </c>
      <c r="H109" s="318" t="s">
        <v>109</v>
      </c>
      <c r="I109" s="258">
        <v>100000000</v>
      </c>
      <c r="J109" s="258"/>
      <c r="K109" s="633"/>
      <c r="L109" s="261"/>
      <c r="M109" s="311"/>
      <c r="N109" s="899"/>
      <c r="O109" s="911"/>
    </row>
    <row r="110" spans="1:15" ht="21" customHeight="1" x14ac:dyDescent="0.25">
      <c r="A110" s="878" t="s">
        <v>2115</v>
      </c>
      <c r="B110" s="198" t="s">
        <v>233</v>
      </c>
      <c r="C110" s="199" t="s">
        <v>91</v>
      </c>
      <c r="D110" s="184" t="s">
        <v>92</v>
      </c>
      <c r="E110" s="294" t="s">
        <v>230</v>
      </c>
      <c r="F110" s="184" t="s">
        <v>227</v>
      </c>
      <c r="G110" s="285">
        <v>70451</v>
      </c>
      <c r="H110" s="318" t="s">
        <v>109</v>
      </c>
      <c r="I110" s="262">
        <v>1473880</v>
      </c>
      <c r="J110" s="259">
        <v>247538.36357702981</v>
      </c>
      <c r="K110" s="633"/>
      <c r="L110" s="260"/>
      <c r="M110" s="908"/>
      <c r="N110" s="899"/>
      <c r="O110" s="912"/>
    </row>
    <row r="111" spans="1:15" ht="21" customHeight="1" x14ac:dyDescent="0.25">
      <c r="A111" s="316"/>
      <c r="B111" s="888" t="s">
        <v>117</v>
      </c>
      <c r="C111" s="230"/>
      <c r="D111" s="184"/>
      <c r="E111" s="294"/>
      <c r="F111" s="184"/>
      <c r="G111" s="285"/>
      <c r="H111" s="318"/>
      <c r="I111" s="263">
        <f>SUM(I107:I110)</f>
        <v>103473880</v>
      </c>
      <c r="J111" s="263">
        <f>SUM(J107:J110)</f>
        <v>2227845.2721932684</v>
      </c>
      <c r="K111" s="633"/>
      <c r="L111" s="264"/>
      <c r="M111" s="908"/>
      <c r="N111" s="899"/>
      <c r="O111" s="912"/>
    </row>
    <row r="112" spans="1:15" ht="21" customHeight="1" x14ac:dyDescent="0.25">
      <c r="A112" s="316"/>
      <c r="B112" s="223" t="s">
        <v>234</v>
      </c>
      <c r="C112" s="316"/>
      <c r="D112" s="224"/>
      <c r="E112" s="224"/>
      <c r="F112" s="224"/>
      <c r="G112" s="224"/>
      <c r="H112" s="224"/>
      <c r="I112" s="197"/>
      <c r="J112" s="197"/>
      <c r="K112" s="633"/>
      <c r="L112" s="210"/>
      <c r="M112" s="215"/>
      <c r="N112" s="899"/>
      <c r="O112" s="215"/>
    </row>
    <row r="113" spans="1:15" ht="21" customHeight="1" x14ac:dyDescent="0.25">
      <c r="A113" s="878" t="s">
        <v>2094</v>
      </c>
      <c r="B113" s="265" t="s">
        <v>235</v>
      </c>
      <c r="C113" s="234" t="s">
        <v>91</v>
      </c>
      <c r="D113" s="188" t="s">
        <v>92</v>
      </c>
      <c r="E113" s="294" t="s">
        <v>236</v>
      </c>
      <c r="F113" s="266" t="s">
        <v>202</v>
      </c>
      <c r="G113" s="285">
        <v>71091</v>
      </c>
      <c r="H113" s="318" t="s">
        <v>109</v>
      </c>
      <c r="I113" s="200">
        <v>1600000</v>
      </c>
      <c r="J113" s="200">
        <v>1678004.5833024008</v>
      </c>
      <c r="K113" s="633"/>
      <c r="L113" s="222"/>
      <c r="M113" s="901"/>
      <c r="N113" s="899"/>
      <c r="O113" s="901"/>
    </row>
    <row r="114" spans="1:15" ht="21" customHeight="1" x14ac:dyDescent="0.25">
      <c r="A114" s="878" t="s">
        <v>2094</v>
      </c>
      <c r="B114" s="265" t="s">
        <v>237</v>
      </c>
      <c r="C114" s="234" t="s">
        <v>91</v>
      </c>
      <c r="D114" s="188" t="s">
        <v>92</v>
      </c>
      <c r="E114" s="294" t="s">
        <v>236</v>
      </c>
      <c r="F114" s="266" t="s">
        <v>238</v>
      </c>
      <c r="G114" s="285">
        <v>71091</v>
      </c>
      <c r="H114" s="318" t="s">
        <v>109</v>
      </c>
      <c r="I114" s="200">
        <v>300000</v>
      </c>
      <c r="J114" s="201">
        <v>491550.45405109396</v>
      </c>
      <c r="K114" s="633"/>
      <c r="L114" s="202"/>
      <c r="M114" s="901"/>
      <c r="N114" s="899"/>
      <c r="O114" s="901"/>
    </row>
    <row r="115" spans="1:15" ht="21" customHeight="1" x14ac:dyDescent="0.25">
      <c r="A115" s="878" t="s">
        <v>2116</v>
      </c>
      <c r="B115" s="265" t="s">
        <v>239</v>
      </c>
      <c r="C115" s="234" t="s">
        <v>91</v>
      </c>
      <c r="D115" s="188" t="s">
        <v>92</v>
      </c>
      <c r="E115" s="294" t="s">
        <v>236</v>
      </c>
      <c r="F115" s="266" t="s">
        <v>240</v>
      </c>
      <c r="G115" s="285">
        <v>71091</v>
      </c>
      <c r="H115" s="318" t="s">
        <v>109</v>
      </c>
      <c r="I115" s="200">
        <v>500000</v>
      </c>
      <c r="J115" s="201">
        <v>108576.26718561111</v>
      </c>
      <c r="K115" s="633"/>
      <c r="L115" s="202"/>
      <c r="M115" s="901"/>
      <c r="N115" s="899"/>
      <c r="O115" s="901"/>
    </row>
    <row r="116" spans="1:15" ht="21" customHeight="1" x14ac:dyDescent="0.25">
      <c r="A116" s="316"/>
      <c r="B116" s="888" t="s">
        <v>117</v>
      </c>
      <c r="C116" s="235"/>
      <c r="D116" s="188"/>
      <c r="E116" s="294"/>
      <c r="F116" s="266"/>
      <c r="G116" s="285"/>
      <c r="H116" s="318"/>
      <c r="I116" s="206">
        <f>SUM(I113:I115)</f>
        <v>2400000</v>
      </c>
      <c r="J116" s="206">
        <f>SUM(J113:J115)</f>
        <v>2278131.3045391059</v>
      </c>
      <c r="K116" s="633"/>
      <c r="L116" s="207"/>
      <c r="M116" s="311"/>
      <c r="N116" s="899"/>
      <c r="O116" s="269"/>
    </row>
    <row r="117" spans="1:15" ht="21" customHeight="1" x14ac:dyDescent="0.25">
      <c r="A117" s="316"/>
      <c r="B117" s="223" t="s">
        <v>241</v>
      </c>
      <c r="C117" s="316"/>
      <c r="D117" s="224"/>
      <c r="E117" s="224"/>
      <c r="F117" s="224"/>
      <c r="G117" s="224"/>
      <c r="H117" s="224"/>
      <c r="I117" s="197"/>
      <c r="J117" s="197"/>
      <c r="K117" s="633"/>
      <c r="L117" s="210"/>
      <c r="M117" s="215"/>
      <c r="N117" s="899"/>
      <c r="O117" s="215"/>
    </row>
    <row r="118" spans="1:15" ht="21" customHeight="1" x14ac:dyDescent="0.25">
      <c r="A118" s="878" t="s">
        <v>2117</v>
      </c>
      <c r="B118" s="198" t="s">
        <v>242</v>
      </c>
      <c r="C118" s="234" t="s">
        <v>91</v>
      </c>
      <c r="D118" s="188" t="s">
        <v>92</v>
      </c>
      <c r="E118" s="294" t="s">
        <v>243</v>
      </c>
      <c r="F118" s="668" t="s">
        <v>244</v>
      </c>
      <c r="G118" s="285">
        <v>70860</v>
      </c>
      <c r="H118" s="318" t="s">
        <v>109</v>
      </c>
      <c r="I118" s="200">
        <v>3000000</v>
      </c>
      <c r="J118" s="200"/>
      <c r="K118" s="633"/>
      <c r="L118" s="222"/>
      <c r="M118" s="901"/>
      <c r="N118" s="899"/>
      <c r="O118" s="901"/>
    </row>
    <row r="119" spans="1:15" ht="21" customHeight="1" x14ac:dyDescent="0.25">
      <c r="A119" s="316"/>
      <c r="B119" s="888" t="s">
        <v>245</v>
      </c>
      <c r="C119" s="235"/>
      <c r="D119" s="231"/>
      <c r="E119" s="225"/>
      <c r="F119" s="231"/>
      <c r="G119" s="231"/>
      <c r="H119" s="231"/>
      <c r="I119" s="327">
        <f>SUM(I46,I49,I52,I58,I72,I75,I84,I88,I95,I98,I100,I105,I111,I116,I118)</f>
        <v>628749517</v>
      </c>
      <c r="J119" s="327">
        <f>SUM(J46,J49,J52,J58,J72,J75,J84,J88,J95,J98,J100,J105,J111,J116,J118)</f>
        <v>848226730.64679098</v>
      </c>
      <c r="K119" s="633"/>
      <c r="L119" s="267"/>
      <c r="M119" s="269"/>
      <c r="N119" s="899"/>
      <c r="O119" s="269"/>
    </row>
    <row r="120" spans="1:15" ht="42" customHeight="1" x14ac:dyDescent="0.25">
      <c r="A120" s="650"/>
      <c r="B120" s="651">
        <v>11</v>
      </c>
      <c r="C120" s="236"/>
      <c r="D120" s="209"/>
      <c r="E120" s="256"/>
      <c r="F120" s="209"/>
      <c r="G120" s="209"/>
      <c r="H120" s="209"/>
      <c r="I120" s="268"/>
      <c r="J120" s="268"/>
      <c r="K120" s="633"/>
      <c r="L120" s="268"/>
      <c r="M120" s="269"/>
      <c r="N120" s="899"/>
      <c r="O120" s="269"/>
    </row>
    <row r="121" spans="1:15" ht="21" customHeight="1" x14ac:dyDescent="0.25">
      <c r="A121" s="316"/>
      <c r="B121" s="223" t="s">
        <v>246</v>
      </c>
      <c r="C121" s="317"/>
      <c r="D121" s="224"/>
      <c r="E121" s="224"/>
      <c r="F121" s="224"/>
      <c r="G121" s="224"/>
      <c r="H121" s="224"/>
      <c r="I121" s="197"/>
      <c r="J121" s="197"/>
      <c r="K121" s="633"/>
      <c r="L121" s="210"/>
      <c r="M121" s="215"/>
      <c r="N121" s="899"/>
      <c r="O121" s="215"/>
    </row>
    <row r="122" spans="1:15" ht="18" customHeight="1" x14ac:dyDescent="0.25">
      <c r="A122" s="316"/>
      <c r="B122" s="228" t="s">
        <v>247</v>
      </c>
      <c r="C122" s="316"/>
      <c r="D122" s="224"/>
      <c r="E122" s="224"/>
      <c r="F122" s="224"/>
      <c r="G122" s="224"/>
      <c r="H122" s="224"/>
      <c r="I122" s="197"/>
      <c r="J122" s="197"/>
      <c r="K122" s="633"/>
      <c r="L122" s="210"/>
      <c r="M122" s="913"/>
      <c r="N122" s="899"/>
      <c r="O122" s="913"/>
    </row>
    <row r="123" spans="1:15" ht="18" customHeight="1" x14ac:dyDescent="0.25">
      <c r="A123" s="878" t="s">
        <v>2118</v>
      </c>
      <c r="B123" s="669" t="s">
        <v>248</v>
      </c>
      <c r="C123" s="272" t="s">
        <v>91</v>
      </c>
      <c r="D123" s="188" t="s">
        <v>92</v>
      </c>
      <c r="E123" s="188" t="s">
        <v>160</v>
      </c>
      <c r="F123" s="188" t="s">
        <v>249</v>
      </c>
      <c r="G123" s="285">
        <v>70421</v>
      </c>
      <c r="H123" s="318" t="s">
        <v>109</v>
      </c>
      <c r="I123" s="273" t="s">
        <v>250</v>
      </c>
      <c r="J123" s="274">
        <v>20793222.540470503</v>
      </c>
      <c r="K123" s="633"/>
      <c r="L123" s="275"/>
      <c r="M123" s="914"/>
      <c r="N123" s="899"/>
      <c r="O123" s="914"/>
    </row>
    <row r="124" spans="1:15" ht="18" customHeight="1" x14ac:dyDescent="0.25">
      <c r="A124" s="316"/>
      <c r="B124" s="669" t="s">
        <v>251</v>
      </c>
      <c r="C124" s="294" t="s">
        <v>252</v>
      </c>
      <c r="D124" s="188" t="s">
        <v>92</v>
      </c>
      <c r="E124" s="188" t="s">
        <v>160</v>
      </c>
      <c r="F124" s="188" t="s">
        <v>249</v>
      </c>
      <c r="G124" s="285">
        <v>70421</v>
      </c>
      <c r="H124" s="318" t="s">
        <v>109</v>
      </c>
      <c r="I124" s="273"/>
      <c r="J124" s="274">
        <v>5792397.707702498</v>
      </c>
      <c r="K124" s="633"/>
      <c r="L124" s="275"/>
      <c r="M124" s="915"/>
      <c r="N124" s="899"/>
      <c r="O124" s="914"/>
    </row>
    <row r="125" spans="1:15" ht="18" customHeight="1" x14ac:dyDescent="0.25">
      <c r="A125" s="316"/>
      <c r="B125" s="669" t="s">
        <v>253</v>
      </c>
      <c r="C125" s="294" t="s">
        <v>254</v>
      </c>
      <c r="D125" s="188" t="s">
        <v>92</v>
      </c>
      <c r="E125" s="188" t="s">
        <v>160</v>
      </c>
      <c r="F125" s="188" t="s">
        <v>249</v>
      </c>
      <c r="G125" s="285">
        <v>70421</v>
      </c>
      <c r="H125" s="318" t="s">
        <v>109</v>
      </c>
      <c r="I125" s="273"/>
      <c r="J125" s="274">
        <v>574289.00349870918</v>
      </c>
      <c r="K125" s="633"/>
      <c r="L125" s="275"/>
      <c r="M125" s="915"/>
      <c r="N125" s="899"/>
      <c r="O125" s="914"/>
    </row>
    <row r="126" spans="1:15" ht="18" customHeight="1" x14ac:dyDescent="0.25">
      <c r="A126" s="316"/>
      <c r="B126" s="669" t="s">
        <v>255</v>
      </c>
      <c r="C126" s="670" t="s">
        <v>256</v>
      </c>
      <c r="D126" s="188" t="s">
        <v>92</v>
      </c>
      <c r="E126" s="188" t="s">
        <v>160</v>
      </c>
      <c r="F126" s="188" t="s">
        <v>249</v>
      </c>
      <c r="G126" s="285">
        <v>70421</v>
      </c>
      <c r="H126" s="318" t="s">
        <v>109</v>
      </c>
      <c r="I126" s="273"/>
      <c r="J126" s="274">
        <v>574289.00349870918</v>
      </c>
      <c r="K126" s="633"/>
      <c r="L126" s="275"/>
      <c r="M126" s="915"/>
      <c r="N126" s="899"/>
      <c r="O126" s="914"/>
    </row>
    <row r="127" spans="1:15" ht="18" customHeight="1" x14ac:dyDescent="0.25">
      <c r="A127" s="316"/>
      <c r="B127" s="669" t="s">
        <v>257</v>
      </c>
      <c r="C127" s="670" t="s">
        <v>258</v>
      </c>
      <c r="D127" s="188" t="s">
        <v>92</v>
      </c>
      <c r="E127" s="188" t="s">
        <v>160</v>
      </c>
      <c r="F127" s="188" t="s">
        <v>249</v>
      </c>
      <c r="G127" s="285">
        <v>70421</v>
      </c>
      <c r="H127" s="318" t="s">
        <v>109</v>
      </c>
      <c r="I127" s="273"/>
      <c r="J127" s="274">
        <v>6772649.6274675354</v>
      </c>
      <c r="K127" s="633"/>
      <c r="L127" s="275"/>
      <c r="M127" s="915"/>
      <c r="N127" s="899"/>
      <c r="O127" s="914"/>
    </row>
    <row r="128" spans="1:15" ht="18" customHeight="1" x14ac:dyDescent="0.25">
      <c r="A128" s="316"/>
      <c r="B128" s="669" t="s">
        <v>259</v>
      </c>
      <c r="C128" s="670" t="s">
        <v>260</v>
      </c>
      <c r="D128" s="188" t="s">
        <v>92</v>
      </c>
      <c r="E128" s="188" t="s">
        <v>160</v>
      </c>
      <c r="F128" s="188" t="s">
        <v>261</v>
      </c>
      <c r="G128" s="285">
        <v>70421</v>
      </c>
      <c r="H128" s="318" t="s">
        <v>109</v>
      </c>
      <c r="I128" s="274"/>
      <c r="J128" s="274"/>
      <c r="K128" s="633"/>
      <c r="L128" s="275"/>
      <c r="M128" s="915"/>
      <c r="N128" s="899"/>
      <c r="O128" s="914"/>
    </row>
    <row r="129" spans="1:15" ht="18" customHeight="1" x14ac:dyDescent="0.25">
      <c r="A129" s="878" t="s">
        <v>2119</v>
      </c>
      <c r="B129" s="671" t="s">
        <v>262</v>
      </c>
      <c r="C129" s="272" t="s">
        <v>91</v>
      </c>
      <c r="D129" s="188" t="s">
        <v>92</v>
      </c>
      <c r="E129" s="188" t="s">
        <v>160</v>
      </c>
      <c r="F129" s="188" t="s">
        <v>263</v>
      </c>
      <c r="G129" s="285">
        <v>70454</v>
      </c>
      <c r="H129" s="318" t="s">
        <v>109</v>
      </c>
      <c r="I129" s="274">
        <v>100000</v>
      </c>
      <c r="J129" s="197"/>
      <c r="K129" s="633"/>
      <c r="L129" s="210"/>
      <c r="M129" s="215"/>
      <c r="N129" s="899"/>
      <c r="O129" s="215"/>
    </row>
    <row r="130" spans="1:15" ht="18" customHeight="1" x14ac:dyDescent="0.25">
      <c r="A130" s="878" t="s">
        <v>2120</v>
      </c>
      <c r="B130" s="671" t="s">
        <v>264</v>
      </c>
      <c r="C130" s="272" t="s">
        <v>91</v>
      </c>
      <c r="D130" s="188" t="s">
        <v>92</v>
      </c>
      <c r="E130" s="188" t="s">
        <v>160</v>
      </c>
      <c r="F130" s="188" t="s">
        <v>265</v>
      </c>
      <c r="G130" s="285">
        <v>70421</v>
      </c>
      <c r="H130" s="318" t="s">
        <v>109</v>
      </c>
      <c r="I130" s="274">
        <v>100000</v>
      </c>
      <c r="J130" s="274">
        <v>9712685.347170677</v>
      </c>
      <c r="K130" s="633"/>
      <c r="L130" s="275"/>
      <c r="M130" s="914"/>
      <c r="N130" s="899"/>
      <c r="O130" s="914"/>
    </row>
    <row r="131" spans="1:15" ht="18" customHeight="1" x14ac:dyDescent="0.25">
      <c r="A131" s="316"/>
      <c r="B131" s="671" t="s">
        <v>266</v>
      </c>
      <c r="C131" s="272"/>
      <c r="D131" s="188" t="s">
        <v>92</v>
      </c>
      <c r="E131" s="188" t="s">
        <v>160</v>
      </c>
      <c r="F131" s="188"/>
      <c r="G131" s="285">
        <v>70421</v>
      </c>
      <c r="H131" s="318" t="s">
        <v>109</v>
      </c>
      <c r="I131" s="274"/>
      <c r="J131" s="274"/>
      <c r="K131" s="633"/>
      <c r="L131" s="275"/>
      <c r="M131" s="215"/>
      <c r="N131" s="899"/>
      <c r="O131" s="914"/>
    </row>
    <row r="132" spans="1:15" ht="18" customHeight="1" x14ac:dyDescent="0.25">
      <c r="A132" s="316"/>
      <c r="B132" s="671" t="s">
        <v>253</v>
      </c>
      <c r="C132" s="272"/>
      <c r="D132" s="188" t="s">
        <v>92</v>
      </c>
      <c r="E132" s="188" t="s">
        <v>160</v>
      </c>
      <c r="F132" s="188"/>
      <c r="G132" s="285">
        <v>70421</v>
      </c>
      <c r="H132" s="318" t="s">
        <v>109</v>
      </c>
      <c r="I132" s="274"/>
      <c r="J132" s="274">
        <v>6772649.6274675354</v>
      </c>
      <c r="K132" s="633"/>
      <c r="L132" s="275"/>
      <c r="M132" s="215"/>
      <c r="N132" s="899"/>
      <c r="O132" s="914"/>
    </row>
    <row r="133" spans="1:15" ht="18" customHeight="1" x14ac:dyDescent="0.25">
      <c r="A133" s="316"/>
      <c r="B133" s="671" t="s">
        <v>267</v>
      </c>
      <c r="C133" s="272"/>
      <c r="D133" s="188" t="s">
        <v>92</v>
      </c>
      <c r="E133" s="188" t="s">
        <v>160</v>
      </c>
      <c r="F133" s="188"/>
      <c r="G133" s="285">
        <v>70421</v>
      </c>
      <c r="H133" s="318" t="s">
        <v>109</v>
      </c>
      <c r="I133" s="274"/>
      <c r="J133" s="274">
        <v>2970460.3629243579</v>
      </c>
      <c r="K133" s="633"/>
      <c r="L133" s="275"/>
      <c r="M133" s="215"/>
      <c r="N133" s="899"/>
      <c r="O133" s="914"/>
    </row>
    <row r="134" spans="1:15" ht="18" customHeight="1" x14ac:dyDescent="0.25">
      <c r="A134" s="878" t="s">
        <v>2127</v>
      </c>
      <c r="B134" s="671" t="s">
        <v>268</v>
      </c>
      <c r="C134" s="272"/>
      <c r="D134" s="188" t="s">
        <v>92</v>
      </c>
      <c r="E134" s="188" t="s">
        <v>160</v>
      </c>
      <c r="F134" s="188" t="s">
        <v>269</v>
      </c>
      <c r="G134" s="285">
        <v>70421</v>
      </c>
      <c r="H134" s="318" t="s">
        <v>109</v>
      </c>
      <c r="I134" s="274"/>
      <c r="J134" s="274">
        <v>396061.3817232477</v>
      </c>
      <c r="K134" s="633"/>
      <c r="L134" s="275"/>
      <c r="M134" s="215"/>
      <c r="N134" s="899"/>
      <c r="O134" s="914"/>
    </row>
    <row r="135" spans="1:15" ht="18" customHeight="1" x14ac:dyDescent="0.25">
      <c r="A135" s="878" t="s">
        <v>2121</v>
      </c>
      <c r="B135" s="669" t="s">
        <v>270</v>
      </c>
      <c r="C135" s="272" t="s">
        <v>91</v>
      </c>
      <c r="D135" s="188" t="s">
        <v>92</v>
      </c>
      <c r="E135" s="188" t="s">
        <v>160</v>
      </c>
      <c r="F135" s="188" t="s">
        <v>271</v>
      </c>
      <c r="G135" s="285">
        <v>70421</v>
      </c>
      <c r="H135" s="318" t="s">
        <v>109</v>
      </c>
      <c r="I135" s="274">
        <v>838000</v>
      </c>
      <c r="J135" s="274"/>
      <c r="K135" s="633"/>
      <c r="L135" s="275"/>
      <c r="M135" s="914"/>
      <c r="N135" s="899"/>
      <c r="O135" s="914"/>
    </row>
    <row r="136" spans="1:15" ht="18" customHeight="1" x14ac:dyDescent="0.25">
      <c r="A136" s="316"/>
      <c r="B136" s="669" t="s">
        <v>270</v>
      </c>
      <c r="C136" s="272"/>
      <c r="D136" s="188"/>
      <c r="E136" s="188"/>
      <c r="F136" s="188"/>
      <c r="G136" s="285"/>
      <c r="H136" s="318"/>
      <c r="I136" s="319"/>
      <c r="J136" s="274"/>
      <c r="K136" s="633"/>
      <c r="L136" s="275"/>
      <c r="M136" s="914"/>
      <c r="N136" s="899"/>
      <c r="O136" s="914"/>
    </row>
    <row r="137" spans="1:15" ht="18" customHeight="1" x14ac:dyDescent="0.25">
      <c r="A137" s="316"/>
      <c r="B137" s="669" t="s">
        <v>272</v>
      </c>
      <c r="C137" s="272"/>
      <c r="D137" s="188" t="s">
        <v>92</v>
      </c>
      <c r="E137" s="188"/>
      <c r="F137" s="188" t="s">
        <v>269</v>
      </c>
      <c r="G137" s="285">
        <v>70421</v>
      </c>
      <c r="H137" s="318" t="s">
        <v>109</v>
      </c>
      <c r="I137" s="319"/>
      <c r="J137" s="274">
        <v>1980306.9086162385</v>
      </c>
      <c r="K137" s="633"/>
      <c r="L137" s="275"/>
      <c r="M137" s="215"/>
      <c r="N137" s="899"/>
      <c r="O137" s="914"/>
    </row>
    <row r="138" spans="1:15" ht="18" customHeight="1" x14ac:dyDescent="0.25">
      <c r="A138" s="316"/>
      <c r="B138" s="669" t="s">
        <v>273</v>
      </c>
      <c r="C138" s="272"/>
      <c r="D138" s="188" t="s">
        <v>92</v>
      </c>
      <c r="E138" s="188"/>
      <c r="F138" s="188" t="s">
        <v>269</v>
      </c>
      <c r="G138" s="285">
        <v>70421</v>
      </c>
      <c r="H138" s="318" t="s">
        <v>109</v>
      </c>
      <c r="I138" s="319"/>
      <c r="J138" s="274">
        <v>2970460.3629243579</v>
      </c>
      <c r="K138" s="633"/>
      <c r="L138" s="275"/>
      <c r="M138" s="215"/>
      <c r="N138" s="899"/>
      <c r="O138" s="914"/>
    </row>
    <row r="139" spans="1:15" ht="18" customHeight="1" x14ac:dyDescent="0.25">
      <c r="A139" s="316"/>
      <c r="B139" s="669" t="s">
        <v>274</v>
      </c>
      <c r="C139" s="272"/>
      <c r="D139" s="188" t="s">
        <v>92</v>
      </c>
      <c r="E139" s="188" t="s">
        <v>160</v>
      </c>
      <c r="F139" s="188" t="s">
        <v>269</v>
      </c>
      <c r="G139" s="285">
        <v>70421</v>
      </c>
      <c r="H139" s="318" t="s">
        <v>109</v>
      </c>
      <c r="I139" s="319"/>
      <c r="J139" s="274">
        <v>3960613.817232477</v>
      </c>
      <c r="K139" s="633"/>
      <c r="L139" s="275"/>
      <c r="M139" s="215"/>
      <c r="N139" s="899"/>
      <c r="O139" s="914"/>
    </row>
    <row r="140" spans="1:15" ht="18" customHeight="1" x14ac:dyDescent="0.25">
      <c r="A140" s="316"/>
      <c r="B140" s="276" t="s">
        <v>275</v>
      </c>
      <c r="C140" s="224"/>
      <c r="D140" s="188" t="s">
        <v>92</v>
      </c>
      <c r="E140" s="188" t="s">
        <v>160</v>
      </c>
      <c r="F140" s="188" t="s">
        <v>269</v>
      </c>
      <c r="G140" s="285">
        <v>70421</v>
      </c>
      <c r="H140" s="318" t="s">
        <v>109</v>
      </c>
      <c r="I140" s="197"/>
      <c r="J140" s="274">
        <v>1742670.0795822898</v>
      </c>
      <c r="K140" s="633"/>
      <c r="L140" s="275"/>
      <c r="M140" s="215"/>
      <c r="N140" s="899"/>
      <c r="O140" s="915"/>
    </row>
    <row r="141" spans="1:15" ht="18" customHeight="1" x14ac:dyDescent="0.25">
      <c r="A141" s="878" t="s">
        <v>2122</v>
      </c>
      <c r="B141" s="276" t="s">
        <v>276</v>
      </c>
      <c r="C141" s="224"/>
      <c r="D141" s="188" t="s">
        <v>92</v>
      </c>
      <c r="E141" s="188"/>
      <c r="F141" s="224"/>
      <c r="G141" s="285">
        <v>70421</v>
      </c>
      <c r="H141" s="318" t="s">
        <v>109</v>
      </c>
      <c r="I141" s="197"/>
      <c r="J141" s="274">
        <v>1958127.4712397368</v>
      </c>
      <c r="K141" s="633"/>
      <c r="L141" s="275"/>
      <c r="M141" s="215"/>
      <c r="N141" s="899"/>
      <c r="O141" s="914"/>
    </row>
    <row r="142" spans="1:15" ht="18" customHeight="1" x14ac:dyDescent="0.25">
      <c r="A142" s="316"/>
      <c r="B142" s="276" t="s">
        <v>277</v>
      </c>
      <c r="C142" s="224"/>
      <c r="D142" s="188" t="s">
        <v>92</v>
      </c>
      <c r="E142" s="188"/>
      <c r="F142" s="188" t="s">
        <v>269</v>
      </c>
      <c r="G142" s="285">
        <v>70421</v>
      </c>
      <c r="H142" s="318" t="s">
        <v>109</v>
      </c>
      <c r="I142" s="197"/>
      <c r="J142" s="274">
        <v>297046.03629243578</v>
      </c>
      <c r="K142" s="633"/>
      <c r="L142" s="275"/>
      <c r="M142" s="215"/>
      <c r="N142" s="899"/>
      <c r="O142" s="914"/>
    </row>
    <row r="143" spans="1:15" ht="18" customHeight="1" x14ac:dyDescent="0.25">
      <c r="A143" s="316"/>
      <c r="B143" s="276" t="s">
        <v>257</v>
      </c>
      <c r="C143" s="224"/>
      <c r="D143" s="188" t="s">
        <v>92</v>
      </c>
      <c r="E143" s="188"/>
      <c r="F143" s="188" t="s">
        <v>269</v>
      </c>
      <c r="G143" s="285">
        <v>70421</v>
      </c>
      <c r="H143" s="318" t="s">
        <v>109</v>
      </c>
      <c r="I143" s="197"/>
      <c r="J143" s="274">
        <v>198030.69086162385</v>
      </c>
      <c r="K143" s="633"/>
      <c r="L143" s="275"/>
      <c r="M143" s="215"/>
      <c r="N143" s="899"/>
      <c r="O143" s="914"/>
    </row>
    <row r="144" spans="1:15" ht="18" customHeight="1" x14ac:dyDescent="0.25">
      <c r="A144" s="316"/>
      <c r="B144" s="276" t="s">
        <v>278</v>
      </c>
      <c r="C144" s="224"/>
      <c r="D144" s="188" t="s">
        <v>92</v>
      </c>
      <c r="E144" s="188"/>
      <c r="F144" s="188" t="s">
        <v>269</v>
      </c>
      <c r="G144" s="285">
        <v>70421</v>
      </c>
      <c r="H144" s="318" t="s">
        <v>109</v>
      </c>
      <c r="I144" s="197"/>
      <c r="J144" s="274">
        <v>990153.45430811925</v>
      </c>
      <c r="K144" s="633"/>
      <c r="L144" s="275"/>
      <c r="M144" s="215"/>
      <c r="N144" s="899"/>
      <c r="O144" s="914"/>
    </row>
    <row r="145" spans="1:15" ht="18" customHeight="1" x14ac:dyDescent="0.25">
      <c r="A145" s="316"/>
      <c r="B145" s="276" t="s">
        <v>279</v>
      </c>
      <c r="C145" s="224"/>
      <c r="D145" s="188" t="s">
        <v>92</v>
      </c>
      <c r="E145" s="188"/>
      <c r="F145" s="188" t="s">
        <v>269</v>
      </c>
      <c r="G145" s="285">
        <v>70421</v>
      </c>
      <c r="H145" s="318" t="s">
        <v>109</v>
      </c>
      <c r="I145" s="197"/>
      <c r="J145" s="274">
        <v>297046.03629243578</v>
      </c>
      <c r="K145" s="633"/>
      <c r="L145" s="275"/>
      <c r="M145" s="215"/>
      <c r="N145" s="899"/>
      <c r="O145" s="914"/>
    </row>
    <row r="146" spans="1:15" ht="18" customHeight="1" x14ac:dyDescent="0.25">
      <c r="A146" s="316"/>
      <c r="B146" s="276" t="s">
        <v>257</v>
      </c>
      <c r="C146" s="224"/>
      <c r="D146" s="188" t="s">
        <v>92</v>
      </c>
      <c r="E146" s="188"/>
      <c r="F146" s="188" t="s">
        <v>269</v>
      </c>
      <c r="G146" s="285">
        <v>70421</v>
      </c>
      <c r="H146" s="318" t="s">
        <v>109</v>
      </c>
      <c r="I146" s="197"/>
      <c r="J146" s="274">
        <v>175851.253485122</v>
      </c>
      <c r="K146" s="633"/>
      <c r="L146" s="275"/>
      <c r="M146" s="215"/>
      <c r="N146" s="899"/>
      <c r="O146" s="914"/>
    </row>
    <row r="147" spans="1:15" ht="18" customHeight="1" x14ac:dyDescent="0.25">
      <c r="A147" s="878" t="s">
        <v>2127</v>
      </c>
      <c r="B147" s="276" t="s">
        <v>268</v>
      </c>
      <c r="C147" s="224"/>
      <c r="D147" s="188"/>
      <c r="E147" s="188"/>
      <c r="F147" s="224"/>
      <c r="G147" s="285">
        <v>70421</v>
      </c>
      <c r="H147" s="318" t="s">
        <v>109</v>
      </c>
      <c r="I147" s="197"/>
      <c r="J147" s="274">
        <v>396061.3817232477</v>
      </c>
      <c r="K147" s="633"/>
      <c r="L147" s="275"/>
      <c r="M147" s="215"/>
      <c r="N147" s="899"/>
      <c r="O147" s="914"/>
    </row>
    <row r="148" spans="1:15" ht="18" customHeight="1" x14ac:dyDescent="0.25">
      <c r="A148" s="316"/>
      <c r="B148" s="888" t="s">
        <v>117</v>
      </c>
      <c r="C148" s="224"/>
      <c r="D148" s="224"/>
      <c r="E148" s="188"/>
      <c r="F148" s="224"/>
      <c r="G148" s="224"/>
      <c r="H148" s="318"/>
      <c r="I148" s="277">
        <f>SUM(I123:I137,I138:I147)</f>
        <v>1038000</v>
      </c>
      <c r="J148" s="277">
        <f>SUM(J123:J137,J138:J147)</f>
        <v>69325072.094481885</v>
      </c>
      <c r="K148" s="633"/>
      <c r="L148" s="278"/>
      <c r="M148" s="215"/>
      <c r="N148" s="899"/>
      <c r="O148" s="916"/>
    </row>
    <row r="149" spans="1:15" ht="42" customHeight="1" x14ac:dyDescent="0.25">
      <c r="A149" s="650"/>
      <c r="B149" s="651">
        <v>12</v>
      </c>
      <c r="C149" s="208"/>
      <c r="D149" s="208"/>
      <c r="E149" s="221"/>
      <c r="F149" s="208"/>
      <c r="G149" s="208"/>
      <c r="H149" s="656"/>
      <c r="I149" s="210"/>
      <c r="J149" s="278"/>
      <c r="K149" s="633"/>
      <c r="L149" s="278"/>
      <c r="M149" s="215"/>
      <c r="N149" s="899"/>
      <c r="O149" s="916"/>
    </row>
    <row r="150" spans="1:15" ht="21" customHeight="1" x14ac:dyDescent="0.25">
      <c r="A150" s="316"/>
      <c r="B150" s="223" t="s">
        <v>280</v>
      </c>
      <c r="C150" s="316"/>
      <c r="D150" s="224"/>
      <c r="E150" s="224"/>
      <c r="F150" s="224"/>
      <c r="G150" s="224"/>
      <c r="H150" s="224"/>
      <c r="I150" s="197"/>
      <c r="J150" s="197"/>
      <c r="K150" s="633"/>
      <c r="L150" s="210"/>
      <c r="M150" s="215"/>
      <c r="N150" s="899"/>
      <c r="O150" s="215"/>
    </row>
    <row r="151" spans="1:15" ht="21" customHeight="1" x14ac:dyDescent="0.25">
      <c r="A151" s="878" t="s">
        <v>2123</v>
      </c>
      <c r="B151" s="198" t="s">
        <v>281</v>
      </c>
      <c r="C151" s="199" t="s">
        <v>91</v>
      </c>
      <c r="D151" s="184" t="s">
        <v>92</v>
      </c>
      <c r="E151" s="294" t="s">
        <v>107</v>
      </c>
      <c r="F151" s="188" t="s">
        <v>282</v>
      </c>
      <c r="G151" s="294">
        <v>70112</v>
      </c>
      <c r="H151" s="318" t="s">
        <v>109</v>
      </c>
      <c r="I151" s="200">
        <v>86533524</v>
      </c>
      <c r="J151" s="201">
        <v>87536986.194621012</v>
      </c>
      <c r="K151" s="633"/>
      <c r="L151" s="202"/>
      <c r="M151" s="901"/>
      <c r="N151" s="899"/>
      <c r="O151" s="901"/>
    </row>
    <row r="152" spans="1:15" ht="21" customHeight="1" x14ac:dyDescent="0.25">
      <c r="A152" s="316"/>
      <c r="B152" s="198" t="s">
        <v>283</v>
      </c>
      <c r="C152" s="199" t="s">
        <v>91</v>
      </c>
      <c r="D152" s="184" t="s">
        <v>92</v>
      </c>
      <c r="E152" s="294" t="s">
        <v>107</v>
      </c>
      <c r="F152" s="188" t="s">
        <v>284</v>
      </c>
      <c r="G152" s="285">
        <v>70112</v>
      </c>
      <c r="H152" s="318" t="s">
        <v>109</v>
      </c>
      <c r="I152" s="200">
        <v>18636470</v>
      </c>
      <c r="J152" s="204">
        <v>0</v>
      </c>
      <c r="K152" s="633"/>
      <c r="L152" s="205"/>
      <c r="M152" s="901"/>
      <c r="N152" s="899"/>
      <c r="O152" s="901"/>
    </row>
    <row r="153" spans="1:15" ht="21" customHeight="1" x14ac:dyDescent="0.25">
      <c r="A153" s="316"/>
      <c r="B153" s="198" t="s">
        <v>285</v>
      </c>
      <c r="C153" s="199"/>
      <c r="D153" s="184"/>
      <c r="E153" s="294"/>
      <c r="F153" s="188"/>
      <c r="G153" s="285"/>
      <c r="H153" s="318"/>
      <c r="I153" s="200"/>
      <c r="J153" s="204">
        <v>0</v>
      </c>
      <c r="K153" s="633"/>
      <c r="L153" s="205"/>
      <c r="M153" s="901"/>
      <c r="N153" s="899"/>
      <c r="O153" s="901"/>
    </row>
    <row r="154" spans="1:15" ht="21" customHeight="1" x14ac:dyDescent="0.25">
      <c r="A154" s="316"/>
      <c r="B154" s="198" t="s">
        <v>286</v>
      </c>
      <c r="C154" s="199"/>
      <c r="D154" s="184"/>
      <c r="E154" s="294"/>
      <c r="F154" s="188"/>
      <c r="G154" s="285"/>
      <c r="H154" s="318"/>
      <c r="I154" s="200"/>
      <c r="J154" s="204">
        <v>0</v>
      </c>
      <c r="K154" s="633"/>
      <c r="L154" s="205"/>
      <c r="M154" s="901"/>
      <c r="N154" s="899"/>
      <c r="O154" s="901"/>
    </row>
    <row r="155" spans="1:15" ht="21" customHeight="1" x14ac:dyDescent="0.25">
      <c r="A155" s="316"/>
      <c r="B155" s="198" t="s">
        <v>287</v>
      </c>
      <c r="C155" s="199"/>
      <c r="D155" s="184"/>
      <c r="E155" s="294"/>
      <c r="F155" s="188"/>
      <c r="G155" s="285"/>
      <c r="H155" s="318"/>
      <c r="I155" s="200"/>
      <c r="J155" s="204"/>
      <c r="K155" s="633"/>
      <c r="L155" s="205"/>
      <c r="M155" s="901"/>
      <c r="N155" s="899"/>
      <c r="O155" s="901"/>
    </row>
    <row r="156" spans="1:15" ht="21" customHeight="1" x14ac:dyDescent="0.25">
      <c r="A156" s="878" t="s">
        <v>2115</v>
      </c>
      <c r="B156" s="671" t="s">
        <v>288</v>
      </c>
      <c r="C156" s="199" t="s">
        <v>91</v>
      </c>
      <c r="D156" s="184" t="s">
        <v>92</v>
      </c>
      <c r="E156" s="294" t="s">
        <v>107</v>
      </c>
      <c r="F156" s="188" t="s">
        <v>289</v>
      </c>
      <c r="G156" s="285">
        <v>70112</v>
      </c>
      <c r="H156" s="318" t="s">
        <v>109</v>
      </c>
      <c r="I156" s="200">
        <v>483050</v>
      </c>
      <c r="J156" s="204">
        <v>0</v>
      </c>
      <c r="K156" s="633"/>
      <c r="L156" s="205"/>
      <c r="M156" s="311"/>
      <c r="N156" s="899"/>
      <c r="O156" s="903"/>
    </row>
    <row r="157" spans="1:15" ht="21" customHeight="1" x14ac:dyDescent="0.25">
      <c r="A157" s="316"/>
      <c r="B157" s="888" t="s">
        <v>117</v>
      </c>
      <c r="C157" s="199"/>
      <c r="D157" s="184"/>
      <c r="E157" s="649"/>
      <c r="F157" s="188"/>
      <c r="G157" s="285"/>
      <c r="H157" s="318"/>
      <c r="I157" s="212">
        <f>SUM(I151:I156)</f>
        <v>105653044</v>
      </c>
      <c r="J157" s="212">
        <f>SUM(J151:J156)</f>
        <v>87536986.194621012</v>
      </c>
      <c r="K157" s="633"/>
      <c r="L157" s="213"/>
      <c r="M157" s="269"/>
      <c r="N157" s="899"/>
      <c r="O157" s="269"/>
    </row>
    <row r="158" spans="1:15" ht="21" customHeight="1" x14ac:dyDescent="0.25">
      <c r="A158" s="316"/>
      <c r="B158" s="223" t="s">
        <v>290</v>
      </c>
      <c r="C158" s="316"/>
      <c r="D158" s="224"/>
      <c r="E158" s="224"/>
      <c r="F158" s="224"/>
      <c r="G158" s="224"/>
      <c r="H158" s="224"/>
      <c r="I158" s="197"/>
      <c r="J158" s="197"/>
      <c r="K158" s="633"/>
      <c r="L158" s="210"/>
      <c r="M158" s="215"/>
      <c r="N158" s="899"/>
      <c r="O158" s="215"/>
    </row>
    <row r="159" spans="1:15" ht="21" customHeight="1" x14ac:dyDescent="0.25">
      <c r="A159" s="878" t="s">
        <v>2104</v>
      </c>
      <c r="B159" s="198" t="s">
        <v>291</v>
      </c>
      <c r="C159" s="199" t="s">
        <v>91</v>
      </c>
      <c r="D159" s="184" t="s">
        <v>92</v>
      </c>
      <c r="E159" s="188" t="s">
        <v>292</v>
      </c>
      <c r="F159" s="188" t="s">
        <v>293</v>
      </c>
      <c r="G159" s="294">
        <v>70112</v>
      </c>
      <c r="H159" s="318" t="s">
        <v>109</v>
      </c>
      <c r="I159" s="200">
        <v>2403709</v>
      </c>
      <c r="J159" s="201">
        <v>2431583.6036269059</v>
      </c>
      <c r="K159" s="633"/>
      <c r="L159" s="202"/>
      <c r="M159" s="903"/>
      <c r="N159" s="899"/>
      <c r="O159" s="903"/>
    </row>
    <row r="160" spans="1:15" ht="21" customHeight="1" x14ac:dyDescent="0.25">
      <c r="A160" s="878" t="s">
        <v>2124</v>
      </c>
      <c r="B160" s="198" t="s">
        <v>294</v>
      </c>
      <c r="C160" s="199" t="s">
        <v>91</v>
      </c>
      <c r="D160" s="184" t="s">
        <v>92</v>
      </c>
      <c r="E160" s="188" t="s">
        <v>292</v>
      </c>
      <c r="F160" s="188" t="s">
        <v>293</v>
      </c>
      <c r="G160" s="294">
        <v>70112</v>
      </c>
      <c r="H160" s="318" t="s">
        <v>109</v>
      </c>
      <c r="I160" s="200">
        <v>600927</v>
      </c>
      <c r="J160" s="201">
        <v>607894.81173792668</v>
      </c>
      <c r="K160" s="633"/>
      <c r="L160" s="202"/>
      <c r="M160" s="901"/>
      <c r="N160" s="899"/>
      <c r="O160" s="901"/>
    </row>
    <row r="161" spans="1:15" ht="21" customHeight="1" x14ac:dyDescent="0.25">
      <c r="A161" s="878" t="s">
        <v>2125</v>
      </c>
      <c r="B161" s="198" t="s">
        <v>295</v>
      </c>
      <c r="C161" s="199" t="s">
        <v>91</v>
      </c>
      <c r="D161" s="184" t="s">
        <v>92</v>
      </c>
      <c r="E161" s="188" t="s">
        <v>292</v>
      </c>
      <c r="F161" s="188" t="s">
        <v>296</v>
      </c>
      <c r="G161" s="294">
        <v>70112</v>
      </c>
      <c r="H161" s="318" t="s">
        <v>109</v>
      </c>
      <c r="I161" s="319">
        <v>60000</v>
      </c>
      <c r="J161" s="200"/>
      <c r="K161" s="633"/>
      <c r="L161" s="222"/>
      <c r="M161" s="917"/>
      <c r="N161" s="899"/>
      <c r="O161" s="903"/>
    </row>
    <row r="162" spans="1:15" ht="21" customHeight="1" x14ac:dyDescent="0.25">
      <c r="A162" s="316"/>
      <c r="B162" s="888" t="s">
        <v>117</v>
      </c>
      <c r="C162" s="230"/>
      <c r="D162" s="279"/>
      <c r="E162" s="188"/>
      <c r="F162" s="188"/>
      <c r="G162" s="294"/>
      <c r="H162" s="318"/>
      <c r="I162" s="212">
        <f>SUM(I159:I161)</f>
        <v>3064636</v>
      </c>
      <c r="J162" s="212">
        <f>SUM(J159:J161)</f>
        <v>3039478.4153648326</v>
      </c>
      <c r="K162" s="633"/>
      <c r="L162" s="213"/>
      <c r="M162" s="269"/>
      <c r="N162" s="899"/>
      <c r="O162" s="269"/>
    </row>
    <row r="163" spans="1:15" ht="21" customHeight="1" x14ac:dyDescent="0.25">
      <c r="A163" s="316"/>
      <c r="B163" s="223" t="s">
        <v>297</v>
      </c>
      <c r="C163" s="316"/>
      <c r="D163" s="224"/>
      <c r="E163" s="224"/>
      <c r="F163" s="224"/>
      <c r="G163" s="224"/>
      <c r="H163" s="224"/>
      <c r="I163" s="197"/>
      <c r="J163" s="197"/>
      <c r="K163" s="633"/>
      <c r="L163" s="210"/>
      <c r="M163" s="215"/>
      <c r="N163" s="899"/>
      <c r="O163" s="215"/>
    </row>
    <row r="164" spans="1:15" ht="21" customHeight="1" x14ac:dyDescent="0.25">
      <c r="A164" s="878" t="s">
        <v>2124</v>
      </c>
      <c r="B164" s="211" t="s">
        <v>298</v>
      </c>
      <c r="C164" s="199" t="s">
        <v>91</v>
      </c>
      <c r="D164" s="184" t="s">
        <v>92</v>
      </c>
      <c r="E164" s="188" t="s">
        <v>299</v>
      </c>
      <c r="F164" s="188" t="s">
        <v>293</v>
      </c>
      <c r="G164" s="280">
        <v>70411</v>
      </c>
      <c r="H164" s="318" t="s">
        <v>109</v>
      </c>
      <c r="I164" s="200">
        <v>95888367</v>
      </c>
      <c r="J164" s="201">
        <v>97000310.186886847</v>
      </c>
      <c r="K164" s="633"/>
      <c r="L164" s="202"/>
      <c r="M164" s="903"/>
      <c r="N164" s="899"/>
      <c r="O164" s="903"/>
    </row>
    <row r="165" spans="1:15" ht="21" customHeight="1" x14ac:dyDescent="0.25">
      <c r="A165" s="878" t="s">
        <v>2124</v>
      </c>
      <c r="B165" s="198" t="s">
        <v>300</v>
      </c>
      <c r="C165" s="199" t="s">
        <v>91</v>
      </c>
      <c r="D165" s="184" t="s">
        <v>92</v>
      </c>
      <c r="E165" s="188" t="s">
        <v>299</v>
      </c>
      <c r="F165" s="188" t="s">
        <v>293</v>
      </c>
      <c r="G165" s="280">
        <v>70411</v>
      </c>
      <c r="H165" s="318" t="s">
        <v>109</v>
      </c>
      <c r="I165" s="200">
        <v>1433512</v>
      </c>
      <c r="J165" s="201">
        <v>1450135.509178322</v>
      </c>
      <c r="K165" s="633"/>
      <c r="L165" s="202"/>
      <c r="M165" s="903"/>
      <c r="N165" s="899"/>
      <c r="O165" s="903"/>
    </row>
    <row r="166" spans="1:15" ht="21" customHeight="1" x14ac:dyDescent="0.25">
      <c r="A166" s="878" t="s">
        <v>2124</v>
      </c>
      <c r="B166" s="198" t="s">
        <v>301</v>
      </c>
      <c r="C166" s="199" t="s">
        <v>91</v>
      </c>
      <c r="D166" s="184" t="s">
        <v>92</v>
      </c>
      <c r="E166" s="188" t="s">
        <v>299</v>
      </c>
      <c r="F166" s="188" t="s">
        <v>293</v>
      </c>
      <c r="G166" s="280">
        <v>70411</v>
      </c>
      <c r="H166" s="318" t="s">
        <v>109</v>
      </c>
      <c r="I166" s="200">
        <v>1009069</v>
      </c>
      <c r="J166" s="201">
        <v>102077.57321588155</v>
      </c>
      <c r="K166" s="633"/>
      <c r="L166" s="202"/>
      <c r="M166" s="901"/>
      <c r="N166" s="899"/>
      <c r="O166" s="901"/>
    </row>
    <row r="167" spans="1:15" ht="21" customHeight="1" x14ac:dyDescent="0.25">
      <c r="A167" s="878" t="s">
        <v>2125</v>
      </c>
      <c r="B167" s="198" t="s">
        <v>302</v>
      </c>
      <c r="C167" s="199" t="s">
        <v>91</v>
      </c>
      <c r="D167" s="184" t="s">
        <v>92</v>
      </c>
      <c r="E167" s="188" t="s">
        <v>299</v>
      </c>
      <c r="F167" s="184" t="s">
        <v>296</v>
      </c>
      <c r="G167" s="280">
        <v>70411</v>
      </c>
      <c r="H167" s="318" t="s">
        <v>109</v>
      </c>
      <c r="I167" s="200">
        <v>594229</v>
      </c>
      <c r="J167" s="201">
        <v>601120.46894805226</v>
      </c>
      <c r="K167" s="633"/>
      <c r="L167" s="202"/>
      <c r="M167" s="901"/>
      <c r="N167" s="899"/>
      <c r="O167" s="901"/>
    </row>
    <row r="168" spans="1:15" ht="21" customHeight="1" x14ac:dyDescent="0.25">
      <c r="A168" s="878" t="s">
        <v>2126</v>
      </c>
      <c r="B168" s="198" t="s">
        <v>303</v>
      </c>
      <c r="C168" s="199" t="s">
        <v>91</v>
      </c>
      <c r="D168" s="184" t="s">
        <v>92</v>
      </c>
      <c r="E168" s="188" t="s">
        <v>299</v>
      </c>
      <c r="F168" s="184" t="s">
        <v>304</v>
      </c>
      <c r="G168" s="280">
        <v>70411</v>
      </c>
      <c r="H168" s="318" t="s">
        <v>109</v>
      </c>
      <c r="I168" s="200">
        <v>7318099</v>
      </c>
      <c r="J168" s="201">
        <v>7402961.3846910493</v>
      </c>
      <c r="K168" s="633"/>
      <c r="L168" s="202"/>
      <c r="M168" s="903"/>
      <c r="N168" s="899"/>
      <c r="O168" s="903"/>
    </row>
    <row r="169" spans="1:15" ht="21" customHeight="1" x14ac:dyDescent="0.25">
      <c r="A169" s="878" t="s">
        <v>2124</v>
      </c>
      <c r="B169" s="281" t="s">
        <v>305</v>
      </c>
      <c r="C169" s="199" t="s">
        <v>91</v>
      </c>
      <c r="D169" s="184" t="s">
        <v>92</v>
      </c>
      <c r="E169" s="188" t="s">
        <v>299</v>
      </c>
      <c r="F169" s="188" t="s">
        <v>293</v>
      </c>
      <c r="G169" s="280">
        <v>70411</v>
      </c>
      <c r="H169" s="318" t="s">
        <v>109</v>
      </c>
      <c r="I169" s="200">
        <v>351268</v>
      </c>
      <c r="J169" s="200">
        <v>355342.14274219342</v>
      </c>
      <c r="K169" s="633"/>
      <c r="L169" s="222"/>
      <c r="M169" s="903"/>
      <c r="N169" s="899"/>
      <c r="O169" s="903"/>
    </row>
    <row r="170" spans="1:15" ht="21" customHeight="1" x14ac:dyDescent="0.25">
      <c r="A170" s="878" t="s">
        <v>2124</v>
      </c>
      <c r="B170" s="198" t="s">
        <v>306</v>
      </c>
      <c r="C170" s="199" t="s">
        <v>91</v>
      </c>
      <c r="D170" s="184" t="s">
        <v>92</v>
      </c>
      <c r="E170" s="188" t="s">
        <v>299</v>
      </c>
      <c r="F170" s="188" t="s">
        <v>293</v>
      </c>
      <c r="G170" s="280">
        <v>70411</v>
      </c>
      <c r="H170" s="318" t="s">
        <v>109</v>
      </c>
      <c r="I170" s="200">
        <v>45360575</v>
      </c>
      <c r="J170" s="200">
        <v>45886586.953543209</v>
      </c>
      <c r="K170" s="633"/>
      <c r="L170" s="222"/>
      <c r="M170" s="903"/>
      <c r="N170" s="899"/>
      <c r="O170" s="903"/>
    </row>
    <row r="171" spans="1:15" ht="21" customHeight="1" x14ac:dyDescent="0.25">
      <c r="A171" s="316"/>
      <c r="B171" s="888" t="s">
        <v>117</v>
      </c>
      <c r="C171" s="230"/>
      <c r="D171" s="184"/>
      <c r="E171" s="188"/>
      <c r="F171" s="188"/>
      <c r="G171" s="280"/>
      <c r="H171" s="318"/>
      <c r="I171" s="212">
        <f>SUM(I164:I170)</f>
        <v>151955119</v>
      </c>
      <c r="J171" s="212">
        <f>SUM(J164:J170)</f>
        <v>152798534.21920556</v>
      </c>
      <c r="K171" s="633"/>
      <c r="L171" s="213"/>
      <c r="M171" s="269"/>
      <c r="N171" s="899"/>
      <c r="O171" s="903"/>
    </row>
    <row r="172" spans="1:15" ht="42" customHeight="1" x14ac:dyDescent="0.25">
      <c r="A172" s="650"/>
      <c r="B172" s="651">
        <v>13</v>
      </c>
      <c r="C172" s="255"/>
      <c r="D172" s="220"/>
      <c r="E172" s="221"/>
      <c r="F172" s="221"/>
      <c r="G172" s="282"/>
      <c r="H172" s="656"/>
      <c r="I172" s="213"/>
      <c r="J172" s="213"/>
      <c r="K172" s="633"/>
      <c r="L172" s="213"/>
      <c r="M172" s="269"/>
      <c r="N172" s="899"/>
      <c r="O172" s="903"/>
    </row>
    <row r="173" spans="1:15" ht="21" customHeight="1" x14ac:dyDescent="0.25">
      <c r="A173" s="316"/>
      <c r="B173" s="223" t="s">
        <v>203</v>
      </c>
      <c r="C173" s="316"/>
      <c r="D173" s="224"/>
      <c r="E173" s="224"/>
      <c r="F173" s="224"/>
      <c r="G173" s="224"/>
      <c r="H173" s="224"/>
      <c r="I173" s="197"/>
      <c r="J173" s="197"/>
      <c r="K173" s="633"/>
      <c r="L173" s="210"/>
      <c r="M173" s="215"/>
      <c r="N173" s="899"/>
      <c r="O173" s="215"/>
    </row>
    <row r="174" spans="1:15" ht="21" customHeight="1" x14ac:dyDescent="0.25">
      <c r="A174" s="878" t="s">
        <v>2128</v>
      </c>
      <c r="B174" s="198" t="s">
        <v>307</v>
      </c>
      <c r="C174" s="199" t="s">
        <v>91</v>
      </c>
      <c r="D174" s="184" t="s">
        <v>92</v>
      </c>
      <c r="E174" s="294" t="s">
        <v>205</v>
      </c>
      <c r="F174" s="184" t="s">
        <v>308</v>
      </c>
      <c r="G174" s="285">
        <v>70540</v>
      </c>
      <c r="H174" s="318" t="s">
        <v>109</v>
      </c>
      <c r="I174" s="200">
        <v>4000000</v>
      </c>
      <c r="J174" s="200"/>
      <c r="K174" s="633"/>
      <c r="L174" s="222"/>
      <c r="M174" s="918"/>
      <c r="N174" s="899"/>
      <c r="O174" s="903"/>
    </row>
    <row r="175" spans="1:15" ht="21" customHeight="1" x14ac:dyDescent="0.25">
      <c r="A175" s="878" t="s">
        <v>2129</v>
      </c>
      <c r="B175" s="198" t="s">
        <v>309</v>
      </c>
      <c r="C175" s="199" t="s">
        <v>91</v>
      </c>
      <c r="D175" s="184" t="s">
        <v>92</v>
      </c>
      <c r="E175" s="294" t="s">
        <v>205</v>
      </c>
      <c r="F175" s="188" t="s">
        <v>310</v>
      </c>
      <c r="G175" s="285">
        <v>70540</v>
      </c>
      <c r="H175" s="318" t="s">
        <v>109</v>
      </c>
      <c r="I175" s="200">
        <v>5854479</v>
      </c>
      <c r="J175" s="201">
        <v>3960613.817232477</v>
      </c>
      <c r="K175" s="633"/>
      <c r="L175" s="202"/>
      <c r="M175" s="908"/>
      <c r="N175" s="899"/>
      <c r="O175" s="901"/>
    </row>
    <row r="176" spans="1:15" ht="21" customHeight="1" x14ac:dyDescent="0.25">
      <c r="A176" s="878" t="s">
        <v>2130</v>
      </c>
      <c r="B176" s="198" t="s">
        <v>311</v>
      </c>
      <c r="C176" s="199" t="s">
        <v>91</v>
      </c>
      <c r="D176" s="184" t="s">
        <v>92</v>
      </c>
      <c r="E176" s="294" t="s">
        <v>205</v>
      </c>
      <c r="F176" s="188" t="s">
        <v>312</v>
      </c>
      <c r="G176" s="285">
        <v>70540</v>
      </c>
      <c r="H176" s="318" t="s">
        <v>109</v>
      </c>
      <c r="I176" s="200">
        <v>13000000</v>
      </c>
      <c r="J176" s="201">
        <v>13070025.596867174</v>
      </c>
      <c r="K176" s="633"/>
      <c r="L176" s="202"/>
      <c r="M176" s="902"/>
      <c r="N176" s="899"/>
      <c r="O176" s="901"/>
    </row>
    <row r="177" spans="1:15" ht="24.75" customHeight="1" x14ac:dyDescent="0.25">
      <c r="A177" s="878" t="s">
        <v>2131</v>
      </c>
      <c r="B177" s="198" t="s">
        <v>313</v>
      </c>
      <c r="C177" s="199" t="s">
        <v>91</v>
      </c>
      <c r="D177" s="184" t="s">
        <v>92</v>
      </c>
      <c r="E177" s="294" t="s">
        <v>205</v>
      </c>
      <c r="F177" s="188" t="s">
        <v>314</v>
      </c>
      <c r="G177" s="285">
        <v>70540</v>
      </c>
      <c r="H177" s="318" t="s">
        <v>109</v>
      </c>
      <c r="I177" s="200">
        <v>29272396</v>
      </c>
      <c r="J177" s="201">
        <v>29704603.629243575</v>
      </c>
      <c r="K177" s="633"/>
      <c r="L177" s="202"/>
      <c r="M177" s="902"/>
      <c r="N177" s="899"/>
      <c r="O177" s="901"/>
    </row>
    <row r="178" spans="1:15" ht="33" customHeight="1" x14ac:dyDescent="0.25">
      <c r="B178" s="198" t="s">
        <v>315</v>
      </c>
      <c r="C178" s="199" t="s">
        <v>91</v>
      </c>
      <c r="D178" s="184" t="s">
        <v>92</v>
      </c>
      <c r="E178" s="294" t="s">
        <v>205</v>
      </c>
      <c r="F178" s="188" t="s">
        <v>312</v>
      </c>
      <c r="G178" s="285">
        <v>70540</v>
      </c>
      <c r="H178" s="318" t="s">
        <v>109</v>
      </c>
      <c r="I178" s="672"/>
      <c r="J178" s="201">
        <v>5796832.6050243434</v>
      </c>
      <c r="K178" s="633"/>
      <c r="L178" s="283"/>
      <c r="M178" s="919"/>
      <c r="N178" s="899"/>
      <c r="O178" s="900"/>
    </row>
    <row r="179" spans="1:15" ht="21" customHeight="1" x14ac:dyDescent="0.25">
      <c r="A179" s="316"/>
      <c r="B179" s="211" t="s">
        <v>316</v>
      </c>
      <c r="C179" s="199" t="s">
        <v>91</v>
      </c>
      <c r="D179" s="184" t="s">
        <v>92</v>
      </c>
      <c r="E179" s="294" t="s">
        <v>205</v>
      </c>
      <c r="F179" s="188" t="s">
        <v>317</v>
      </c>
      <c r="G179" s="285">
        <v>70540</v>
      </c>
      <c r="H179" s="318" t="s">
        <v>109</v>
      </c>
      <c r="I179" s="672">
        <v>1400000</v>
      </c>
      <c r="J179" s="672"/>
      <c r="K179" s="633"/>
      <c r="L179" s="284"/>
      <c r="M179" s="908"/>
      <c r="N179" s="899"/>
      <c r="O179" s="920"/>
    </row>
    <row r="180" spans="1:15" ht="21" customHeight="1" x14ac:dyDescent="0.25">
      <c r="A180" s="878" t="s">
        <v>2132</v>
      </c>
      <c r="B180" s="198" t="s">
        <v>318</v>
      </c>
      <c r="C180" s="199" t="s">
        <v>91</v>
      </c>
      <c r="D180" s="184" t="s">
        <v>92</v>
      </c>
      <c r="E180" s="294" t="s">
        <v>205</v>
      </c>
      <c r="F180" s="184" t="s">
        <v>317</v>
      </c>
      <c r="G180" s="285">
        <v>70540</v>
      </c>
      <c r="H180" s="318" t="s">
        <v>109</v>
      </c>
      <c r="I180" s="200">
        <v>3000000</v>
      </c>
      <c r="J180" s="200"/>
      <c r="K180" s="633"/>
      <c r="L180" s="222"/>
      <c r="M180" s="908"/>
      <c r="N180" s="899"/>
      <c r="O180" s="901"/>
    </row>
    <row r="181" spans="1:15" ht="21" customHeight="1" x14ac:dyDescent="0.25">
      <c r="A181" s="878" t="s">
        <v>2132</v>
      </c>
      <c r="B181" s="198" t="s">
        <v>319</v>
      </c>
      <c r="C181" s="199" t="s">
        <v>91</v>
      </c>
      <c r="D181" s="184" t="s">
        <v>92</v>
      </c>
      <c r="E181" s="294" t="s">
        <v>205</v>
      </c>
      <c r="F181" s="184" t="s">
        <v>320</v>
      </c>
      <c r="G181" s="285">
        <v>70540</v>
      </c>
      <c r="H181" s="318" t="s">
        <v>109</v>
      </c>
      <c r="I181" s="319">
        <v>216500</v>
      </c>
      <c r="J181" s="200"/>
      <c r="K181" s="633"/>
      <c r="L181" s="222"/>
      <c r="M181" s="908"/>
      <c r="N181" s="899"/>
      <c r="O181" s="903"/>
    </row>
    <row r="182" spans="1:15" ht="21" customHeight="1" x14ac:dyDescent="0.25">
      <c r="A182" s="878" t="s">
        <v>2133</v>
      </c>
      <c r="B182" s="198" t="s">
        <v>321</v>
      </c>
      <c r="C182" s="199" t="s">
        <v>91</v>
      </c>
      <c r="D182" s="184" t="s">
        <v>92</v>
      </c>
      <c r="E182" s="294" t="s">
        <v>205</v>
      </c>
      <c r="F182" s="184" t="s">
        <v>322</v>
      </c>
      <c r="G182" s="285">
        <v>70540</v>
      </c>
      <c r="H182" s="318" t="s">
        <v>109</v>
      </c>
      <c r="I182" s="319">
        <v>198000</v>
      </c>
      <c r="J182" s="201">
        <v>1974123.0339373061</v>
      </c>
      <c r="K182" s="633"/>
      <c r="L182" s="202"/>
      <c r="M182" s="901"/>
      <c r="N182" s="899"/>
      <c r="O182" s="901"/>
    </row>
    <row r="183" spans="1:15" ht="21" customHeight="1" x14ac:dyDescent="0.25">
      <c r="A183" s="878" t="s">
        <v>2134</v>
      </c>
      <c r="B183" s="198" t="s">
        <v>323</v>
      </c>
      <c r="C183" s="199" t="s">
        <v>91</v>
      </c>
      <c r="D183" s="184" t="s">
        <v>92</v>
      </c>
      <c r="E183" s="294" t="s">
        <v>205</v>
      </c>
      <c r="F183" s="184" t="s">
        <v>308</v>
      </c>
      <c r="G183" s="285">
        <v>70540</v>
      </c>
      <c r="H183" s="318" t="s">
        <v>109</v>
      </c>
      <c r="I183" s="200" t="s">
        <v>324</v>
      </c>
      <c r="J183" s="201">
        <v>2574398.9812011099</v>
      </c>
      <c r="K183" s="633"/>
      <c r="L183" s="202"/>
      <c r="M183" s="901"/>
      <c r="N183" s="899"/>
      <c r="O183" s="900"/>
    </row>
    <row r="184" spans="1:15" ht="21" customHeight="1" x14ac:dyDescent="0.25">
      <c r="A184" s="878" t="s">
        <v>2130</v>
      </c>
      <c r="B184" s="198" t="s">
        <v>325</v>
      </c>
      <c r="C184" s="199"/>
      <c r="D184" s="184"/>
      <c r="E184" s="294"/>
      <c r="F184" s="184"/>
      <c r="G184" s="285"/>
      <c r="H184" s="318"/>
      <c r="I184" s="200"/>
      <c r="J184" s="200"/>
      <c r="K184" s="633"/>
      <c r="L184" s="222"/>
      <c r="M184" s="908"/>
      <c r="N184" s="899"/>
      <c r="O184" s="900"/>
    </row>
    <row r="185" spans="1:15" ht="21" customHeight="1" x14ac:dyDescent="0.25">
      <c r="A185" s="316"/>
      <c r="B185" s="888" t="s">
        <v>117</v>
      </c>
      <c r="C185" s="230"/>
      <c r="D185" s="184"/>
      <c r="E185" s="294"/>
      <c r="F185" s="184"/>
      <c r="G185" s="285"/>
      <c r="H185" s="318"/>
      <c r="I185" s="212">
        <f>SUM(I174:I184)</f>
        <v>56941375</v>
      </c>
      <c r="J185" s="212">
        <f>SUM(J174:J184)</f>
        <v>57080597.663505994</v>
      </c>
      <c r="K185" s="633"/>
      <c r="L185" s="213"/>
      <c r="M185" s="921"/>
      <c r="N185" s="899"/>
      <c r="O185" s="922"/>
    </row>
    <row r="186" spans="1:15" ht="21" customHeight="1" x14ac:dyDescent="0.25">
      <c r="A186" s="316"/>
      <c r="B186" s="223" t="s">
        <v>219</v>
      </c>
      <c r="C186" s="316"/>
      <c r="D186" s="224"/>
      <c r="E186" s="224"/>
      <c r="F186" s="224"/>
      <c r="G186" s="224"/>
      <c r="H186" s="224"/>
      <c r="I186" s="197"/>
      <c r="J186" s="197"/>
      <c r="K186" s="633"/>
      <c r="L186" s="210"/>
      <c r="M186" s="215"/>
      <c r="N186" s="899"/>
      <c r="O186" s="215"/>
    </row>
    <row r="187" spans="1:15" ht="21" customHeight="1" x14ac:dyDescent="0.25">
      <c r="A187" s="878" t="s">
        <v>2131</v>
      </c>
      <c r="B187" s="198" t="s">
        <v>326</v>
      </c>
      <c r="C187" s="199" t="s">
        <v>91</v>
      </c>
      <c r="D187" s="184" t="s">
        <v>92</v>
      </c>
      <c r="E187" s="294" t="s">
        <v>327</v>
      </c>
      <c r="F187" s="184" t="s">
        <v>314</v>
      </c>
      <c r="G187" s="285">
        <v>70540</v>
      </c>
      <c r="H187" s="318" t="s">
        <v>109</v>
      </c>
      <c r="I187" s="319">
        <v>60000</v>
      </c>
      <c r="J187" s="201">
        <v>4995094.4613830624</v>
      </c>
      <c r="K187" s="633"/>
      <c r="L187" s="202"/>
      <c r="M187" s="908"/>
      <c r="N187" s="899"/>
      <c r="O187" s="901"/>
    </row>
    <row r="188" spans="1:15" ht="21" customHeight="1" x14ac:dyDescent="0.25">
      <c r="A188" s="316"/>
      <c r="B188" s="223" t="s">
        <v>328</v>
      </c>
      <c r="C188" s="316"/>
      <c r="D188" s="224"/>
      <c r="E188" s="224"/>
      <c r="F188" s="224"/>
      <c r="G188" s="224"/>
      <c r="H188" s="224"/>
      <c r="I188" s="197"/>
      <c r="J188" s="197"/>
      <c r="K188" s="633"/>
      <c r="L188" s="210"/>
      <c r="M188" s="215"/>
      <c r="N188" s="899"/>
      <c r="O188" s="215"/>
    </row>
    <row r="189" spans="1:15" ht="21" customHeight="1" x14ac:dyDescent="0.25">
      <c r="A189" s="878" t="s">
        <v>2119</v>
      </c>
      <c r="B189" s="198" t="s">
        <v>329</v>
      </c>
      <c r="C189" s="199" t="s">
        <v>91</v>
      </c>
      <c r="D189" s="184" t="s">
        <v>92</v>
      </c>
      <c r="E189" s="294" t="s">
        <v>330</v>
      </c>
      <c r="F189" s="188" t="s">
        <v>263</v>
      </c>
      <c r="G189" s="225">
        <v>70111</v>
      </c>
      <c r="H189" s="318" t="s">
        <v>109</v>
      </c>
      <c r="I189" s="200">
        <v>17000000</v>
      </c>
      <c r="J189" s="201">
        <v>19803069.086162385</v>
      </c>
      <c r="K189" s="633"/>
      <c r="L189" s="202"/>
      <c r="M189" s="907"/>
      <c r="N189" s="899"/>
      <c r="O189" s="901"/>
    </row>
    <row r="190" spans="1:15" ht="21" customHeight="1" x14ac:dyDescent="0.25">
      <c r="A190" s="878" t="s">
        <v>2125</v>
      </c>
      <c r="B190" s="198" t="s">
        <v>302</v>
      </c>
      <c r="C190" s="199" t="s">
        <v>91</v>
      </c>
      <c r="D190" s="184" t="s">
        <v>92</v>
      </c>
      <c r="E190" s="294" t="s">
        <v>330</v>
      </c>
      <c r="F190" s="188" t="s">
        <v>296</v>
      </c>
      <c r="G190" s="225">
        <v>70111</v>
      </c>
      <c r="H190" s="318" t="s">
        <v>109</v>
      </c>
      <c r="I190" s="200">
        <v>105000000</v>
      </c>
      <c r="J190" s="201">
        <v>148523018.14621791</v>
      </c>
      <c r="K190" s="633"/>
      <c r="L190" s="202"/>
      <c r="M190" s="908"/>
      <c r="N190" s="899"/>
      <c r="O190" s="901"/>
    </row>
    <row r="191" spans="1:15" ht="21" customHeight="1" x14ac:dyDescent="0.25">
      <c r="A191" s="878" t="s">
        <v>2125</v>
      </c>
      <c r="B191" s="198" t="s">
        <v>331</v>
      </c>
      <c r="C191" s="199"/>
      <c r="D191" s="184"/>
      <c r="E191" s="294"/>
      <c r="F191" s="188"/>
      <c r="G191" s="225"/>
      <c r="H191" s="318"/>
      <c r="I191" s="200"/>
      <c r="J191" s="201">
        <v>19741230.378979199</v>
      </c>
      <c r="K191" s="633"/>
      <c r="L191" s="202"/>
      <c r="M191" s="908"/>
      <c r="N191" s="899"/>
      <c r="O191" s="901"/>
    </row>
    <row r="192" spans="1:15" ht="21" customHeight="1" x14ac:dyDescent="0.25">
      <c r="A192" s="316"/>
      <c r="B192" s="888" t="s">
        <v>117</v>
      </c>
      <c r="C192" s="230"/>
      <c r="D192" s="184"/>
      <c r="E192" s="294"/>
      <c r="F192" s="188"/>
      <c r="G192" s="225"/>
      <c r="H192" s="318"/>
      <c r="I192" s="206">
        <f>SUM(I189:I191)</f>
        <v>122000000</v>
      </c>
      <c r="J192" s="206">
        <f>SUM(J189:J191)</f>
        <v>188067317.61135951</v>
      </c>
      <c r="K192" s="633"/>
      <c r="L192" s="207"/>
      <c r="M192" s="908"/>
      <c r="N192" s="899"/>
      <c r="O192" s="269"/>
    </row>
    <row r="193" spans="1:15" ht="21" customHeight="1" x14ac:dyDescent="0.25">
      <c r="A193" s="316"/>
      <c r="B193" s="223" t="s">
        <v>332</v>
      </c>
      <c r="C193" s="316"/>
      <c r="D193" s="224"/>
      <c r="E193" s="224"/>
      <c r="F193" s="224"/>
      <c r="G193" s="224"/>
      <c r="H193" s="224"/>
      <c r="I193" s="197"/>
      <c r="J193" s="197"/>
      <c r="K193" s="633"/>
      <c r="L193" s="210"/>
      <c r="M193" s="215"/>
      <c r="N193" s="899"/>
      <c r="O193" s="215"/>
    </row>
    <row r="194" spans="1:15" ht="21" customHeight="1" x14ac:dyDescent="0.25">
      <c r="A194" s="878" t="s">
        <v>2125</v>
      </c>
      <c r="B194" s="211" t="s">
        <v>333</v>
      </c>
      <c r="C194" s="234" t="s">
        <v>91</v>
      </c>
      <c r="D194" s="188" t="s">
        <v>92</v>
      </c>
      <c r="E194" s="294" t="s">
        <v>334</v>
      </c>
      <c r="F194" s="188" t="s">
        <v>296</v>
      </c>
      <c r="G194" s="285">
        <v>70435</v>
      </c>
      <c r="H194" s="318" t="s">
        <v>109</v>
      </c>
      <c r="I194" s="200">
        <v>1948098</v>
      </c>
      <c r="J194" s="201">
        <v>990153.45430811925</v>
      </c>
      <c r="K194" s="633"/>
      <c r="L194" s="202"/>
      <c r="M194" s="903"/>
      <c r="N194" s="899"/>
      <c r="O194" s="901"/>
    </row>
    <row r="195" spans="1:15" ht="21" customHeight="1" x14ac:dyDescent="0.25">
      <c r="A195" s="878" t="s">
        <v>2103</v>
      </c>
      <c r="B195" s="198" t="s">
        <v>335</v>
      </c>
      <c r="C195" s="234" t="s">
        <v>91</v>
      </c>
      <c r="D195" s="188" t="s">
        <v>92</v>
      </c>
      <c r="E195" s="294" t="s">
        <v>334</v>
      </c>
      <c r="F195" s="188" t="s">
        <v>263</v>
      </c>
      <c r="G195" s="285">
        <v>70435</v>
      </c>
      <c r="H195" s="318" t="s">
        <v>109</v>
      </c>
      <c r="I195" s="200">
        <v>206097</v>
      </c>
      <c r="J195" s="200">
        <v>208486.71133911761</v>
      </c>
      <c r="K195" s="633"/>
      <c r="L195" s="222"/>
      <c r="M195" s="903"/>
      <c r="N195" s="899"/>
      <c r="O195" s="903"/>
    </row>
    <row r="196" spans="1:15" ht="21" customHeight="1" x14ac:dyDescent="0.25">
      <c r="A196" s="316"/>
      <c r="B196" s="198" t="s">
        <v>336</v>
      </c>
      <c r="C196" s="234" t="s">
        <v>91</v>
      </c>
      <c r="D196" s="188" t="s">
        <v>92</v>
      </c>
      <c r="E196" s="294" t="s">
        <v>334</v>
      </c>
      <c r="F196" s="188" t="s">
        <v>337</v>
      </c>
      <c r="G196" s="285">
        <v>70435</v>
      </c>
      <c r="H196" s="318" t="s">
        <v>109</v>
      </c>
      <c r="I196" s="200">
        <v>9757465</v>
      </c>
      <c r="J196" s="201">
        <v>9870615.1894895993</v>
      </c>
      <c r="K196" s="633"/>
      <c r="L196" s="202"/>
      <c r="M196" s="903"/>
      <c r="N196" s="899"/>
      <c r="O196" s="903"/>
    </row>
    <row r="197" spans="1:15" ht="21" customHeight="1" x14ac:dyDescent="0.25">
      <c r="A197" s="316"/>
      <c r="B197" s="888" t="s">
        <v>117</v>
      </c>
      <c r="C197" s="235"/>
      <c r="D197" s="188"/>
      <c r="E197" s="294"/>
      <c r="F197" s="188"/>
      <c r="G197" s="285"/>
      <c r="H197" s="318"/>
      <c r="I197" s="206">
        <f>SUM(I194:I196)</f>
        <v>11911660</v>
      </c>
      <c r="J197" s="212">
        <f>SUM(J194:J196)</f>
        <v>11069255.355136836</v>
      </c>
      <c r="K197" s="633"/>
      <c r="L197" s="213"/>
      <c r="M197" s="908"/>
      <c r="N197" s="899"/>
      <c r="O197" s="269"/>
    </row>
    <row r="198" spans="1:15" ht="42" customHeight="1" x14ac:dyDescent="0.25">
      <c r="A198" s="650"/>
      <c r="B198" s="651">
        <v>14</v>
      </c>
      <c r="C198" s="236"/>
      <c r="D198" s="221"/>
      <c r="E198" s="655"/>
      <c r="F198" s="221"/>
      <c r="G198" s="661"/>
      <c r="H198" s="656"/>
      <c r="I198" s="222"/>
      <c r="J198" s="222"/>
      <c r="K198" s="633"/>
      <c r="L198" s="222"/>
      <c r="M198" s="908"/>
      <c r="N198" s="899"/>
      <c r="O198" s="269"/>
    </row>
    <row r="199" spans="1:15" ht="21" customHeight="1" x14ac:dyDescent="0.25">
      <c r="A199" s="316"/>
      <c r="B199" s="223" t="s">
        <v>338</v>
      </c>
      <c r="C199" s="316"/>
      <c r="D199" s="224"/>
      <c r="E199" s="224"/>
      <c r="F199" s="224"/>
      <c r="G199" s="224"/>
      <c r="H199" s="224"/>
      <c r="I199" s="197"/>
      <c r="J199" s="197"/>
      <c r="K199" s="633"/>
      <c r="L199" s="210"/>
      <c r="M199" s="215"/>
      <c r="N199" s="899"/>
      <c r="O199" s="215"/>
    </row>
    <row r="200" spans="1:15" ht="21" customHeight="1" x14ac:dyDescent="0.25">
      <c r="A200" s="878" t="s">
        <v>2119</v>
      </c>
      <c r="B200" s="211" t="s">
        <v>339</v>
      </c>
      <c r="C200" s="234" t="s">
        <v>91</v>
      </c>
      <c r="D200" s="188" t="s">
        <v>92</v>
      </c>
      <c r="E200" s="667" t="s">
        <v>340</v>
      </c>
      <c r="F200" s="184" t="s">
        <v>263</v>
      </c>
      <c r="G200" s="285">
        <v>70443</v>
      </c>
      <c r="H200" s="318" t="s">
        <v>109</v>
      </c>
      <c r="I200" s="319">
        <v>1500000</v>
      </c>
      <c r="J200" s="659"/>
      <c r="K200" s="633"/>
      <c r="L200" s="229"/>
      <c r="M200" s="910"/>
      <c r="N200" s="899"/>
      <c r="O200" s="910"/>
    </row>
    <row r="201" spans="1:15" ht="21" customHeight="1" x14ac:dyDescent="0.25">
      <c r="A201" s="878" t="s">
        <v>2125</v>
      </c>
      <c r="B201" s="211" t="s">
        <v>341</v>
      </c>
      <c r="C201" s="234" t="s">
        <v>91</v>
      </c>
      <c r="D201" s="188" t="s">
        <v>92</v>
      </c>
      <c r="E201" s="667" t="s">
        <v>340</v>
      </c>
      <c r="F201" s="184" t="s">
        <v>296</v>
      </c>
      <c r="G201" s="285">
        <v>70443</v>
      </c>
      <c r="H201" s="318" t="s">
        <v>109</v>
      </c>
      <c r="I201" s="319">
        <v>23000000</v>
      </c>
      <c r="J201" s="659"/>
      <c r="K201" s="633"/>
      <c r="L201" s="229"/>
      <c r="M201" s="923"/>
      <c r="N201" s="899"/>
      <c r="O201" s="923"/>
    </row>
    <row r="202" spans="1:15" ht="21" customHeight="1" x14ac:dyDescent="0.25">
      <c r="A202" s="316"/>
      <c r="B202" s="888" t="s">
        <v>117</v>
      </c>
      <c r="C202" s="225"/>
      <c r="D202" s="225"/>
      <c r="E202" s="225"/>
      <c r="F202" s="225"/>
      <c r="G202" s="225"/>
      <c r="H202" s="225"/>
      <c r="I202" s="194">
        <f>SUM(I200:I201)</f>
        <v>24500000</v>
      </c>
      <c r="J202" s="286">
        <f>SUM(J200:J201)</f>
        <v>0</v>
      </c>
      <c r="K202" s="633"/>
      <c r="L202" s="287"/>
      <c r="M202" s="902"/>
      <c r="N202" s="899"/>
      <c r="O202" s="902"/>
    </row>
    <row r="203" spans="1:15" ht="21" customHeight="1" x14ac:dyDescent="0.25">
      <c r="A203" s="316"/>
      <c r="B203" s="223" t="s">
        <v>342</v>
      </c>
      <c r="C203" s="316"/>
      <c r="D203" s="224"/>
      <c r="E203" s="224"/>
      <c r="F203" s="224"/>
      <c r="G203" s="224"/>
      <c r="H203" s="224"/>
      <c r="I203" s="197"/>
      <c r="J203" s="197"/>
      <c r="K203" s="633"/>
      <c r="L203" s="210"/>
      <c r="M203" s="215"/>
      <c r="N203" s="899"/>
      <c r="O203" s="215"/>
    </row>
    <row r="204" spans="1:15" ht="21" customHeight="1" x14ac:dyDescent="0.25">
      <c r="A204" s="878" t="s">
        <v>2135</v>
      </c>
      <c r="B204" s="198" t="s">
        <v>343</v>
      </c>
      <c r="C204" s="234" t="s">
        <v>91</v>
      </c>
      <c r="D204" s="188" t="s">
        <v>92</v>
      </c>
      <c r="E204" s="294" t="s">
        <v>344</v>
      </c>
      <c r="F204" s="188" t="s">
        <v>345</v>
      </c>
      <c r="G204" s="285">
        <v>70330</v>
      </c>
      <c r="H204" s="318" t="s">
        <v>109</v>
      </c>
      <c r="I204" s="672">
        <v>255848724</v>
      </c>
      <c r="J204" s="201">
        <v>294031733.91486156</v>
      </c>
      <c r="K204" s="633"/>
      <c r="L204" s="283"/>
      <c r="M204" s="900"/>
      <c r="N204" s="899"/>
      <c r="O204" s="900"/>
    </row>
    <row r="205" spans="1:15" ht="21" customHeight="1" x14ac:dyDescent="0.25">
      <c r="A205" s="878" t="s">
        <v>2136</v>
      </c>
      <c r="B205" s="198" t="s">
        <v>346</v>
      </c>
      <c r="C205" s="234" t="s">
        <v>91</v>
      </c>
      <c r="D205" s="188" t="s">
        <v>92</v>
      </c>
      <c r="E205" s="294" t="s">
        <v>344</v>
      </c>
      <c r="F205" s="188" t="s">
        <v>345</v>
      </c>
      <c r="G205" s="285">
        <v>70330</v>
      </c>
      <c r="H205" s="318" t="s">
        <v>109</v>
      </c>
      <c r="I205" s="200">
        <v>1000000</v>
      </c>
      <c r="J205" s="201">
        <v>414565.83484948135</v>
      </c>
      <c r="K205" s="633"/>
      <c r="L205" s="202"/>
      <c r="M205" s="908"/>
      <c r="N205" s="899"/>
      <c r="O205" s="903"/>
    </row>
    <row r="206" spans="1:15" ht="21" customHeight="1" x14ac:dyDescent="0.25">
      <c r="A206" s="316"/>
      <c r="B206" s="888" t="s">
        <v>117</v>
      </c>
      <c r="C206" s="234"/>
      <c r="D206" s="188"/>
      <c r="E206" s="294"/>
      <c r="F206" s="188"/>
      <c r="G206" s="285"/>
      <c r="H206" s="318"/>
      <c r="I206" s="212">
        <f>SUM(I204:I205)</f>
        <v>256848724</v>
      </c>
      <c r="J206" s="212">
        <f>SUM(J204:J205)</f>
        <v>294446299.74971104</v>
      </c>
      <c r="K206" s="633"/>
      <c r="L206" s="213"/>
      <c r="M206" s="908"/>
      <c r="N206" s="899"/>
      <c r="O206" s="903"/>
    </row>
    <row r="207" spans="1:15" ht="21" customHeight="1" x14ac:dyDescent="0.25">
      <c r="A207" s="316"/>
      <c r="B207" s="223" t="s">
        <v>347</v>
      </c>
      <c r="C207" s="316"/>
      <c r="D207" s="224"/>
      <c r="E207" s="224"/>
      <c r="F207" s="224"/>
      <c r="G207" s="224"/>
      <c r="H207" s="224"/>
      <c r="I207" s="197"/>
      <c r="J207" s="197"/>
      <c r="K207" s="633"/>
      <c r="L207" s="210"/>
      <c r="M207" s="215"/>
      <c r="N207" s="899"/>
      <c r="O207" s="215"/>
    </row>
    <row r="208" spans="1:15" ht="21" customHeight="1" x14ac:dyDescent="0.25">
      <c r="A208" s="878" t="s">
        <v>2136</v>
      </c>
      <c r="B208" s="281" t="s">
        <v>348</v>
      </c>
      <c r="C208" s="234" t="s">
        <v>91</v>
      </c>
      <c r="D208" s="188" t="s">
        <v>92</v>
      </c>
      <c r="E208" s="294" t="s">
        <v>349</v>
      </c>
      <c r="F208" s="288" t="s">
        <v>350</v>
      </c>
      <c r="G208" s="285">
        <v>70330</v>
      </c>
      <c r="H208" s="318" t="s">
        <v>109</v>
      </c>
      <c r="I208" s="200">
        <v>1000000</v>
      </c>
      <c r="J208" s="201">
        <v>78964.926110228829</v>
      </c>
      <c r="K208" s="633"/>
      <c r="L208" s="202"/>
      <c r="M208" s="901"/>
      <c r="N208" s="899"/>
      <c r="O208" s="901"/>
    </row>
    <row r="209" spans="1:15" ht="21" customHeight="1" x14ac:dyDescent="0.25">
      <c r="A209" s="878" t="s">
        <v>2135</v>
      </c>
      <c r="B209" s="198" t="s">
        <v>351</v>
      </c>
      <c r="C209" s="234" t="s">
        <v>91</v>
      </c>
      <c r="D209" s="188" t="s">
        <v>92</v>
      </c>
      <c r="E209" s="294" t="s">
        <v>349</v>
      </c>
      <c r="F209" s="188" t="s">
        <v>345</v>
      </c>
      <c r="G209" s="285">
        <v>70330</v>
      </c>
      <c r="H209" s="318" t="s">
        <v>109</v>
      </c>
      <c r="I209" s="672">
        <v>74313282</v>
      </c>
      <c r="J209" s="201">
        <v>19741.234002940841</v>
      </c>
      <c r="K209" s="633"/>
      <c r="L209" s="202"/>
      <c r="M209" s="907"/>
      <c r="N209" s="899"/>
      <c r="O209" s="924"/>
    </row>
    <row r="210" spans="1:15" ht="21" customHeight="1" x14ac:dyDescent="0.25">
      <c r="A210" s="316"/>
      <c r="B210" s="198" t="s">
        <v>352</v>
      </c>
      <c r="C210" s="234" t="s">
        <v>91</v>
      </c>
      <c r="D210" s="188" t="s">
        <v>92</v>
      </c>
      <c r="E210" s="294" t="s">
        <v>349</v>
      </c>
      <c r="F210" s="188" t="s">
        <v>345</v>
      </c>
      <c r="G210" s="285">
        <v>70330</v>
      </c>
      <c r="H210" s="318" t="s">
        <v>109</v>
      </c>
      <c r="I210" s="672"/>
      <c r="J210" s="672"/>
      <c r="K210" s="633"/>
      <c r="L210" s="284"/>
      <c r="M210" s="908"/>
      <c r="N210" s="899"/>
      <c r="O210" s="924"/>
    </row>
    <row r="211" spans="1:15" ht="21" customHeight="1" x14ac:dyDescent="0.25">
      <c r="A211" s="316"/>
      <c r="B211" s="198" t="s">
        <v>353</v>
      </c>
      <c r="C211" s="234" t="s">
        <v>91</v>
      </c>
      <c r="D211" s="188" t="s">
        <v>92</v>
      </c>
      <c r="E211" s="294" t="s">
        <v>349</v>
      </c>
      <c r="F211" s="188" t="s">
        <v>345</v>
      </c>
      <c r="G211" s="285">
        <v>70330</v>
      </c>
      <c r="H211" s="318" t="s">
        <v>109</v>
      </c>
      <c r="I211" s="672"/>
      <c r="J211" s="672"/>
      <c r="K211" s="633"/>
      <c r="L211" s="284"/>
      <c r="M211" s="908"/>
      <c r="N211" s="899"/>
      <c r="O211" s="924"/>
    </row>
    <row r="212" spans="1:15" ht="21" customHeight="1" x14ac:dyDescent="0.25">
      <c r="A212" s="316"/>
      <c r="B212" s="888" t="s">
        <v>117</v>
      </c>
      <c r="C212" s="235"/>
      <c r="D212" s="188"/>
      <c r="E212" s="294"/>
      <c r="F212" s="188"/>
      <c r="G212" s="285"/>
      <c r="H212" s="318"/>
      <c r="I212" s="673">
        <f>SUM(I208:I211)</f>
        <v>75313282</v>
      </c>
      <c r="J212" s="673">
        <f>SUM(J208:J211)</f>
        <v>98706.160113169666</v>
      </c>
      <c r="K212" s="633"/>
      <c r="L212" s="289"/>
      <c r="M212" s="908"/>
      <c r="N212" s="899"/>
      <c r="O212" s="925"/>
    </row>
    <row r="213" spans="1:15" ht="21" customHeight="1" x14ac:dyDescent="0.25">
      <c r="A213" s="316"/>
      <c r="B213" s="223" t="s">
        <v>354</v>
      </c>
      <c r="C213" s="316"/>
      <c r="D213" s="224"/>
      <c r="E213" s="224"/>
      <c r="F213" s="224"/>
      <c r="G213" s="224"/>
      <c r="H213" s="224"/>
      <c r="I213" s="197"/>
      <c r="J213" s="197"/>
      <c r="K213" s="633"/>
      <c r="L213" s="210"/>
      <c r="M213" s="215"/>
      <c r="N213" s="899"/>
      <c r="O213" s="215"/>
    </row>
    <row r="214" spans="1:15" ht="21" customHeight="1" x14ac:dyDescent="0.25">
      <c r="A214" s="316"/>
      <c r="B214" s="198" t="s">
        <v>355</v>
      </c>
      <c r="C214" s="234" t="s">
        <v>91</v>
      </c>
      <c r="D214" s="188" t="s">
        <v>92</v>
      </c>
      <c r="E214" s="294" t="s">
        <v>356</v>
      </c>
      <c r="F214" s="184" t="s">
        <v>357</v>
      </c>
      <c r="G214" s="285">
        <v>70620</v>
      </c>
      <c r="H214" s="318" t="s">
        <v>109</v>
      </c>
      <c r="I214" s="226">
        <v>400000000</v>
      </c>
      <c r="J214" s="201">
        <v>114844031.62580623</v>
      </c>
      <c r="K214" s="633"/>
      <c r="L214" s="202"/>
      <c r="M214" s="908"/>
      <c r="N214" s="899"/>
      <c r="O214" s="901"/>
    </row>
    <row r="215" spans="1:15" ht="21" customHeight="1" x14ac:dyDescent="0.25">
      <c r="A215" s="878" t="s">
        <v>2137</v>
      </c>
      <c r="B215" s="198" t="s">
        <v>358</v>
      </c>
      <c r="C215" s="234" t="s">
        <v>91</v>
      </c>
      <c r="D215" s="188" t="s">
        <v>92</v>
      </c>
      <c r="E215" s="294" t="s">
        <v>356</v>
      </c>
      <c r="F215" s="184" t="s">
        <v>359</v>
      </c>
      <c r="G215" s="285">
        <v>70620</v>
      </c>
      <c r="H215" s="318" t="s">
        <v>109</v>
      </c>
      <c r="I215" s="200">
        <v>100000000</v>
      </c>
      <c r="J215" s="200"/>
      <c r="K215" s="633"/>
      <c r="L215" s="290"/>
      <c r="M215" s="908"/>
      <c r="N215" s="899"/>
      <c r="O215" s="900"/>
    </row>
    <row r="216" spans="1:15" ht="21" customHeight="1" x14ac:dyDescent="0.25">
      <c r="A216" s="878" t="s">
        <v>2138</v>
      </c>
      <c r="B216" s="198" t="s">
        <v>360</v>
      </c>
      <c r="C216" s="234" t="s">
        <v>91</v>
      </c>
      <c r="D216" s="188" t="s">
        <v>92</v>
      </c>
      <c r="E216" s="294" t="s">
        <v>356</v>
      </c>
      <c r="F216" s="184" t="s">
        <v>361</v>
      </c>
      <c r="G216" s="285">
        <v>70620</v>
      </c>
      <c r="H216" s="318" t="s">
        <v>109</v>
      </c>
      <c r="I216" s="200">
        <v>150000000</v>
      </c>
      <c r="J216" s="200"/>
      <c r="K216" s="633"/>
      <c r="L216" s="290"/>
      <c r="M216" s="908"/>
      <c r="N216" s="899"/>
      <c r="O216" s="926"/>
    </row>
    <row r="217" spans="1:15" ht="21" customHeight="1" x14ac:dyDescent="0.25">
      <c r="A217" s="878" t="s">
        <v>2139</v>
      </c>
      <c r="B217" s="198" t="s">
        <v>362</v>
      </c>
      <c r="C217" s="234" t="s">
        <v>91</v>
      </c>
      <c r="D217" s="188" t="s">
        <v>92</v>
      </c>
      <c r="E217" s="294" t="s">
        <v>356</v>
      </c>
      <c r="F217" s="184" t="s">
        <v>363</v>
      </c>
      <c r="G217" s="285">
        <v>70620</v>
      </c>
      <c r="H217" s="318" t="s">
        <v>109</v>
      </c>
      <c r="I217" s="226">
        <v>400000000</v>
      </c>
      <c r="J217" s="226"/>
      <c r="K217" s="633"/>
      <c r="L217" s="227"/>
      <c r="M217" s="908"/>
      <c r="N217" s="899"/>
      <c r="O217" s="901"/>
    </row>
    <row r="218" spans="1:15" ht="21" customHeight="1" x14ac:dyDescent="0.25">
      <c r="A218" s="878" t="s">
        <v>2140</v>
      </c>
      <c r="B218" s="198" t="s">
        <v>364</v>
      </c>
      <c r="C218" s="234" t="s">
        <v>91</v>
      </c>
      <c r="D218" s="188" t="s">
        <v>92</v>
      </c>
      <c r="E218" s="294" t="s">
        <v>356</v>
      </c>
      <c r="F218" s="184" t="s">
        <v>284</v>
      </c>
      <c r="G218" s="285">
        <v>70620</v>
      </c>
      <c r="H218" s="318" t="s">
        <v>109</v>
      </c>
      <c r="I218" s="200">
        <v>200000000</v>
      </c>
      <c r="J218" s="201">
        <v>137993566.32411018</v>
      </c>
      <c r="K218" s="633"/>
      <c r="L218" s="202"/>
      <c r="M218" s="926"/>
      <c r="N218" s="899"/>
      <c r="O218" s="901"/>
    </row>
    <row r="219" spans="1:15" ht="21" customHeight="1" x14ac:dyDescent="0.25">
      <c r="A219" s="878" t="s">
        <v>2141</v>
      </c>
      <c r="B219" s="198" t="s">
        <v>365</v>
      </c>
      <c r="C219" s="234" t="s">
        <v>91</v>
      </c>
      <c r="D219" s="188" t="s">
        <v>92</v>
      </c>
      <c r="E219" s="294" t="s">
        <v>356</v>
      </c>
      <c r="F219" s="184" t="s">
        <v>357</v>
      </c>
      <c r="G219" s="285">
        <v>70620</v>
      </c>
      <c r="H219" s="318" t="s">
        <v>109</v>
      </c>
      <c r="I219" s="200">
        <v>136411706</v>
      </c>
      <c r="J219" s="200"/>
      <c r="K219" s="633"/>
      <c r="L219" s="222"/>
      <c r="M219" s="908"/>
      <c r="N219" s="899"/>
      <c r="O219" s="903"/>
    </row>
    <row r="220" spans="1:15" ht="21" customHeight="1" x14ac:dyDescent="0.25">
      <c r="A220" s="878" t="s">
        <v>2124</v>
      </c>
      <c r="B220" s="198" t="s">
        <v>366</v>
      </c>
      <c r="C220" s="234" t="s">
        <v>91</v>
      </c>
      <c r="D220" s="188" t="s">
        <v>92</v>
      </c>
      <c r="E220" s="294" t="s">
        <v>356</v>
      </c>
      <c r="F220" s="184" t="s">
        <v>293</v>
      </c>
      <c r="G220" s="285">
        <v>70620</v>
      </c>
      <c r="H220" s="318" t="s">
        <v>109</v>
      </c>
      <c r="I220" s="200">
        <v>100000000</v>
      </c>
      <c r="J220" s="200"/>
      <c r="K220" s="633"/>
      <c r="L220" s="290"/>
      <c r="M220" s="311"/>
      <c r="N220" s="899"/>
      <c r="O220" s="926"/>
    </row>
    <row r="221" spans="1:15" ht="21" customHeight="1" x14ac:dyDescent="0.25">
      <c r="A221" s="316"/>
      <c r="B221" s="888" t="s">
        <v>117</v>
      </c>
      <c r="C221" s="235"/>
      <c r="D221" s="188"/>
      <c r="E221" s="294"/>
      <c r="F221" s="184"/>
      <c r="G221" s="285"/>
      <c r="H221" s="318"/>
      <c r="I221" s="212">
        <f>SUM(I214:I220)</f>
        <v>1486411706</v>
      </c>
      <c r="J221" s="212">
        <f>SUM(J214:J220)</f>
        <v>252837597.94991642</v>
      </c>
      <c r="K221" s="633"/>
      <c r="L221" s="213"/>
      <c r="M221" s="311"/>
      <c r="N221" s="899"/>
      <c r="O221" s="927"/>
    </row>
    <row r="222" spans="1:15" ht="42" customHeight="1" x14ac:dyDescent="0.25">
      <c r="A222" s="650"/>
      <c r="B222" s="651">
        <v>15</v>
      </c>
      <c r="C222" s="236"/>
      <c r="D222" s="221"/>
      <c r="E222" s="655"/>
      <c r="F222" s="220"/>
      <c r="G222" s="661"/>
      <c r="H222" s="656"/>
      <c r="I222" s="222"/>
      <c r="J222" s="213"/>
      <c r="K222" s="633"/>
      <c r="L222" s="213"/>
      <c r="M222" s="311"/>
      <c r="N222" s="899"/>
      <c r="O222" s="927"/>
    </row>
    <row r="223" spans="1:15" ht="20.100000000000001" customHeight="1" x14ac:dyDescent="0.25">
      <c r="A223" s="316"/>
      <c r="B223" s="223" t="s">
        <v>367</v>
      </c>
      <c r="C223" s="316"/>
      <c r="D223" s="224"/>
      <c r="E223" s="224"/>
      <c r="F223" s="224"/>
      <c r="G223" s="224"/>
      <c r="H223" s="224"/>
      <c r="I223" s="197"/>
      <c r="J223" s="197"/>
      <c r="K223" s="633"/>
      <c r="L223" s="210"/>
      <c r="M223" s="215"/>
      <c r="N223" s="899"/>
      <c r="O223" s="215"/>
    </row>
    <row r="224" spans="1:15" ht="20.100000000000001" customHeight="1" x14ac:dyDescent="0.25">
      <c r="A224" s="316"/>
      <c r="B224" s="198" t="s">
        <v>368</v>
      </c>
      <c r="C224" s="234" t="s">
        <v>91</v>
      </c>
      <c r="D224" s="188" t="s">
        <v>92</v>
      </c>
      <c r="E224" s="294" t="s">
        <v>369</v>
      </c>
      <c r="F224" s="184" t="s">
        <v>359</v>
      </c>
      <c r="G224" s="285">
        <v>70620</v>
      </c>
      <c r="H224" s="318" t="s">
        <v>109</v>
      </c>
      <c r="I224" s="200">
        <v>200000000</v>
      </c>
      <c r="J224" s="200"/>
      <c r="K224" s="633"/>
      <c r="L224" s="222"/>
      <c r="M224" s="256"/>
      <c r="N224" s="899"/>
      <c r="O224" s="903"/>
    </row>
    <row r="225" spans="1:15" ht="20.100000000000001" customHeight="1" x14ac:dyDescent="0.25">
      <c r="A225" s="878" t="s">
        <v>2142</v>
      </c>
      <c r="B225" s="198" t="s">
        <v>370</v>
      </c>
      <c r="C225" s="234" t="s">
        <v>91</v>
      </c>
      <c r="D225" s="188" t="s">
        <v>92</v>
      </c>
      <c r="E225" s="294" t="s">
        <v>369</v>
      </c>
      <c r="F225" s="184" t="s">
        <v>357</v>
      </c>
      <c r="G225" s="285">
        <v>70620</v>
      </c>
      <c r="H225" s="318" t="s">
        <v>109</v>
      </c>
      <c r="I225" s="200">
        <v>19514930</v>
      </c>
      <c r="J225" s="200"/>
      <c r="K225" s="633"/>
      <c r="L225" s="222"/>
      <c r="M225" s="917"/>
      <c r="N225" s="899"/>
      <c r="O225" s="903"/>
    </row>
    <row r="226" spans="1:15" ht="20.100000000000001" customHeight="1" x14ac:dyDescent="0.25">
      <c r="A226" s="316"/>
      <c r="B226" s="198" t="s">
        <v>371</v>
      </c>
      <c r="C226" s="234" t="s">
        <v>91</v>
      </c>
      <c r="D226" s="188" t="s">
        <v>92</v>
      </c>
      <c r="E226" s="294" t="s">
        <v>369</v>
      </c>
      <c r="F226" s="184" t="s">
        <v>284</v>
      </c>
      <c r="G226" s="285">
        <v>70620</v>
      </c>
      <c r="H226" s="318" t="s">
        <v>109</v>
      </c>
      <c r="I226" s="200">
        <v>10000</v>
      </c>
      <c r="J226" s="200"/>
      <c r="K226" s="633"/>
      <c r="L226" s="222"/>
      <c r="M226" s="917"/>
      <c r="N226" s="899"/>
      <c r="O226" s="928"/>
    </row>
    <row r="227" spans="1:15" ht="20.100000000000001" customHeight="1" x14ac:dyDescent="0.25">
      <c r="A227" s="878" t="s">
        <v>2142</v>
      </c>
      <c r="B227" s="198" t="s">
        <v>372</v>
      </c>
      <c r="C227" s="234" t="s">
        <v>91</v>
      </c>
      <c r="D227" s="188" t="s">
        <v>92</v>
      </c>
      <c r="E227" s="294" t="s">
        <v>369</v>
      </c>
      <c r="F227" s="184" t="s">
        <v>357</v>
      </c>
      <c r="G227" s="285">
        <v>70620</v>
      </c>
      <c r="H227" s="318" t="s">
        <v>109</v>
      </c>
      <c r="I227" s="200">
        <v>2500000</v>
      </c>
      <c r="J227" s="200"/>
      <c r="K227" s="633"/>
      <c r="L227" s="222"/>
      <c r="M227" s="917"/>
      <c r="N227" s="899"/>
      <c r="O227" s="903"/>
    </row>
    <row r="228" spans="1:15" ht="20.100000000000001" customHeight="1" x14ac:dyDescent="0.25">
      <c r="A228" s="316"/>
      <c r="B228" s="888" t="s">
        <v>117</v>
      </c>
      <c r="C228" s="234"/>
      <c r="D228" s="188"/>
      <c r="E228" s="294"/>
      <c r="F228" s="184"/>
      <c r="G228" s="285"/>
      <c r="H228" s="318"/>
      <c r="I228" s="232">
        <f>SUM(I224:I227)</f>
        <v>222024930</v>
      </c>
      <c r="J228" s="286">
        <f>SUM(J224:J227)</f>
        <v>0</v>
      </c>
      <c r="K228" s="633"/>
      <c r="L228" s="287"/>
      <c r="M228" s="917"/>
      <c r="N228" s="899"/>
      <c r="O228" s="903"/>
    </row>
    <row r="229" spans="1:15" ht="20.100000000000001" customHeight="1" x14ac:dyDescent="0.25">
      <c r="A229" s="316"/>
      <c r="B229" s="674" t="s">
        <v>373</v>
      </c>
      <c r="C229" s="316"/>
      <c r="D229" s="224"/>
      <c r="E229" s="317"/>
      <c r="F229" s="279"/>
      <c r="G229" s="675"/>
      <c r="H229" s="676"/>
      <c r="I229" s="200"/>
      <c r="J229" s="200"/>
      <c r="K229" s="633"/>
      <c r="L229" s="222"/>
      <c r="M229" s="929"/>
      <c r="N229" s="899"/>
      <c r="O229" s="903"/>
    </row>
    <row r="230" spans="1:15" ht="20.100000000000001" customHeight="1" x14ac:dyDescent="0.25">
      <c r="A230" s="878" t="s">
        <v>2125</v>
      </c>
      <c r="B230" s="198" t="s">
        <v>295</v>
      </c>
      <c r="C230" s="234" t="s">
        <v>91</v>
      </c>
      <c r="D230" s="188" t="s">
        <v>92</v>
      </c>
      <c r="E230" s="294" t="s">
        <v>374</v>
      </c>
      <c r="F230" s="184" t="s">
        <v>375</v>
      </c>
      <c r="G230" s="285">
        <v>70131</v>
      </c>
      <c r="H230" s="318" t="s">
        <v>109</v>
      </c>
      <c r="I230" s="200"/>
      <c r="J230" s="201">
        <v>1782276.2177546148</v>
      </c>
      <c r="K230" s="633"/>
      <c r="L230" s="202"/>
      <c r="M230" s="917"/>
      <c r="N230" s="899"/>
      <c r="O230" s="901"/>
    </row>
    <row r="231" spans="1:15" ht="20.100000000000001" customHeight="1" x14ac:dyDescent="0.25">
      <c r="A231" s="316"/>
      <c r="B231" s="223" t="s">
        <v>376</v>
      </c>
      <c r="C231" s="316"/>
      <c r="D231" s="224"/>
      <c r="E231" s="224"/>
      <c r="F231" s="224"/>
      <c r="G231" s="224"/>
      <c r="H231" s="224"/>
      <c r="I231" s="197"/>
      <c r="J231" s="197"/>
      <c r="K231" s="633"/>
      <c r="L231" s="210"/>
      <c r="M231" s="215"/>
      <c r="N231" s="899"/>
      <c r="O231" s="215"/>
    </row>
    <row r="232" spans="1:15" ht="20.100000000000001" customHeight="1" x14ac:dyDescent="0.25">
      <c r="A232" s="878" t="s">
        <v>2142</v>
      </c>
      <c r="B232" s="198" t="s">
        <v>377</v>
      </c>
      <c r="C232" s="234" t="s">
        <v>91</v>
      </c>
      <c r="D232" s="188" t="s">
        <v>92</v>
      </c>
      <c r="E232" s="294" t="s">
        <v>378</v>
      </c>
      <c r="F232" s="184" t="s">
        <v>357</v>
      </c>
      <c r="G232" s="285">
        <v>70620</v>
      </c>
      <c r="H232" s="318" t="s">
        <v>109</v>
      </c>
      <c r="I232" s="677">
        <v>20000000</v>
      </c>
      <c r="J232" s="201">
        <v>4856095.3134493837</v>
      </c>
      <c r="K232" s="633"/>
      <c r="L232" s="202"/>
      <c r="M232" s="908"/>
      <c r="N232" s="899"/>
      <c r="O232" s="901"/>
    </row>
    <row r="233" spans="1:15" ht="20.100000000000001" customHeight="1" x14ac:dyDescent="0.25">
      <c r="A233" s="878" t="s">
        <v>2140</v>
      </c>
      <c r="B233" s="198" t="s">
        <v>379</v>
      </c>
      <c r="C233" s="234" t="s">
        <v>91</v>
      </c>
      <c r="D233" s="188" t="s">
        <v>92</v>
      </c>
      <c r="E233" s="294" t="s">
        <v>378</v>
      </c>
      <c r="F233" s="184" t="s">
        <v>357</v>
      </c>
      <c r="G233" s="285">
        <v>70620</v>
      </c>
      <c r="H233" s="318" t="s">
        <v>109</v>
      </c>
      <c r="I233" s="677">
        <v>30000000</v>
      </c>
      <c r="J233" s="201">
        <v>29611845.568468802</v>
      </c>
      <c r="K233" s="633"/>
      <c r="L233" s="202"/>
      <c r="M233" s="908"/>
      <c r="N233" s="899"/>
      <c r="O233" s="901"/>
    </row>
    <row r="234" spans="1:15" ht="20.100000000000001" customHeight="1" x14ac:dyDescent="0.25">
      <c r="A234" s="878" t="s">
        <v>2143</v>
      </c>
      <c r="B234" s="198" t="s">
        <v>380</v>
      </c>
      <c r="C234" s="234" t="s">
        <v>91</v>
      </c>
      <c r="D234" s="188" t="s">
        <v>92</v>
      </c>
      <c r="E234" s="294" t="s">
        <v>378</v>
      </c>
      <c r="F234" s="184" t="s">
        <v>357</v>
      </c>
      <c r="G234" s="285">
        <v>70620</v>
      </c>
      <c r="H234" s="318" t="s">
        <v>109</v>
      </c>
      <c r="I234" s="677">
        <v>70000</v>
      </c>
      <c r="J234" s="200">
        <v>789649.2115946156</v>
      </c>
      <c r="K234" s="633"/>
      <c r="L234" s="222"/>
      <c r="M234" s="907"/>
      <c r="N234" s="899"/>
      <c r="O234" s="901"/>
    </row>
    <row r="235" spans="1:15" ht="20.100000000000001" customHeight="1" x14ac:dyDescent="0.25">
      <c r="A235" s="878" t="s">
        <v>2137</v>
      </c>
      <c r="B235" s="198" t="s">
        <v>381</v>
      </c>
      <c r="C235" s="199" t="s">
        <v>91</v>
      </c>
      <c r="D235" s="184" t="s">
        <v>92</v>
      </c>
      <c r="E235" s="294" t="s">
        <v>378</v>
      </c>
      <c r="F235" s="188" t="s">
        <v>357</v>
      </c>
      <c r="G235" s="285">
        <v>70620</v>
      </c>
      <c r="H235" s="318" t="s">
        <v>109</v>
      </c>
      <c r="I235" s="200">
        <v>3942000</v>
      </c>
      <c r="J235" s="200"/>
      <c r="K235" s="633"/>
      <c r="L235" s="222"/>
      <c r="M235" s="311"/>
      <c r="N235" s="899"/>
      <c r="O235" s="903"/>
    </row>
    <row r="236" spans="1:15" ht="20.100000000000001" customHeight="1" x14ac:dyDescent="0.25">
      <c r="A236" s="316"/>
      <c r="B236" s="198" t="s">
        <v>382</v>
      </c>
      <c r="C236" s="199" t="s">
        <v>91</v>
      </c>
      <c r="D236" s="184" t="s">
        <v>383</v>
      </c>
      <c r="E236" s="294" t="s">
        <v>384</v>
      </c>
      <c r="F236" s="188" t="s">
        <v>357</v>
      </c>
      <c r="G236" s="285" t="s">
        <v>385</v>
      </c>
      <c r="H236" s="318" t="s">
        <v>109</v>
      </c>
      <c r="I236" s="200"/>
      <c r="J236" s="200"/>
      <c r="K236" s="633"/>
      <c r="L236" s="222"/>
      <c r="M236" s="311"/>
      <c r="N236" s="899"/>
      <c r="O236" s="901"/>
    </row>
    <row r="237" spans="1:15" ht="20.100000000000001" customHeight="1" x14ac:dyDescent="0.25">
      <c r="A237" s="316"/>
      <c r="B237" s="198" t="s">
        <v>386</v>
      </c>
      <c r="C237" s="199" t="s">
        <v>91</v>
      </c>
      <c r="D237" s="184" t="s">
        <v>387</v>
      </c>
      <c r="E237" s="294" t="s">
        <v>388</v>
      </c>
      <c r="F237" s="188" t="s">
        <v>357</v>
      </c>
      <c r="G237" s="285" t="s">
        <v>385</v>
      </c>
      <c r="H237" s="318" t="s">
        <v>109</v>
      </c>
      <c r="I237" s="200"/>
      <c r="J237" s="204">
        <v>0</v>
      </c>
      <c r="K237" s="633"/>
      <c r="L237" s="205"/>
      <c r="M237" s="903"/>
      <c r="N237" s="899"/>
      <c r="O237" s="901"/>
    </row>
    <row r="238" spans="1:15" ht="20.100000000000001" customHeight="1" x14ac:dyDescent="0.25">
      <c r="A238" s="316"/>
      <c r="B238" s="198" t="s">
        <v>389</v>
      </c>
      <c r="C238" s="199" t="s">
        <v>91</v>
      </c>
      <c r="D238" s="184" t="s">
        <v>390</v>
      </c>
      <c r="E238" s="294" t="s">
        <v>391</v>
      </c>
      <c r="F238" s="188" t="s">
        <v>357</v>
      </c>
      <c r="G238" s="285" t="s">
        <v>392</v>
      </c>
      <c r="H238" s="318" t="s">
        <v>109</v>
      </c>
      <c r="I238" s="200"/>
      <c r="J238" s="200"/>
      <c r="K238" s="633"/>
      <c r="L238" s="222"/>
      <c r="M238" s="311"/>
      <c r="N238" s="899"/>
      <c r="O238" s="901"/>
    </row>
    <row r="239" spans="1:15" ht="20.100000000000001" customHeight="1" x14ac:dyDescent="0.25">
      <c r="A239" s="316"/>
      <c r="B239" s="888" t="s">
        <v>117</v>
      </c>
      <c r="C239" s="230"/>
      <c r="D239" s="184"/>
      <c r="E239" s="294"/>
      <c r="F239" s="188"/>
      <c r="G239" s="285"/>
      <c r="H239" s="318"/>
      <c r="I239" s="206">
        <f>SUM(I232:I238)</f>
        <v>54012000</v>
      </c>
      <c r="J239" s="206">
        <f>SUM(J232:J238)</f>
        <v>35257590.093512803</v>
      </c>
      <c r="K239" s="633"/>
      <c r="L239" s="207"/>
      <c r="M239" s="311"/>
      <c r="N239" s="899"/>
      <c r="O239" s="930"/>
    </row>
    <row r="240" spans="1:15" ht="20.100000000000001" customHeight="1" x14ac:dyDescent="0.25">
      <c r="A240" s="316"/>
      <c r="B240" s="291" t="s">
        <v>393</v>
      </c>
      <c r="C240" s="316"/>
      <c r="D240" s="184"/>
      <c r="E240" s="294"/>
      <c r="F240" s="224"/>
      <c r="G240" s="285"/>
      <c r="H240" s="318"/>
      <c r="I240" s="200"/>
      <c r="J240" s="200"/>
      <c r="K240" s="633"/>
      <c r="L240" s="222"/>
      <c r="M240" s="311"/>
      <c r="N240" s="899"/>
      <c r="O240" s="930"/>
    </row>
    <row r="241" spans="1:15" ht="20.100000000000001" customHeight="1" x14ac:dyDescent="0.25">
      <c r="A241" s="878"/>
      <c r="B241" s="198" t="s">
        <v>394</v>
      </c>
      <c r="C241" s="230"/>
      <c r="D241" s="184"/>
      <c r="E241" s="294"/>
      <c r="F241" s="188"/>
      <c r="G241" s="285"/>
      <c r="H241" s="318"/>
      <c r="I241" s="200"/>
      <c r="J241" s="200"/>
      <c r="K241" s="633"/>
      <c r="L241" s="222"/>
      <c r="M241" s="311"/>
      <c r="N241" s="899"/>
      <c r="O241" s="901"/>
    </row>
    <row r="242" spans="1:15" ht="20.100000000000001" customHeight="1" x14ac:dyDescent="0.25">
      <c r="A242" s="316"/>
      <c r="B242" s="888" t="s">
        <v>117</v>
      </c>
      <c r="C242" s="230"/>
      <c r="D242" s="184"/>
      <c r="E242" s="294"/>
      <c r="F242" s="188"/>
      <c r="G242" s="285"/>
      <c r="H242" s="318"/>
      <c r="I242" s="200"/>
      <c r="J242" s="200"/>
      <c r="K242" s="633"/>
      <c r="L242" s="222"/>
      <c r="M242" s="311"/>
      <c r="N242" s="899"/>
      <c r="O242" s="930"/>
    </row>
    <row r="243" spans="1:15" ht="20.100000000000001" customHeight="1" x14ac:dyDescent="0.25">
      <c r="A243" s="316"/>
      <c r="B243" s="223" t="s">
        <v>165</v>
      </c>
      <c r="C243" s="316"/>
      <c r="D243" s="224"/>
      <c r="E243" s="224"/>
      <c r="F243" s="224"/>
      <c r="G243" s="224"/>
      <c r="H243" s="224"/>
      <c r="I243" s="197"/>
      <c r="J243" s="197"/>
      <c r="K243" s="633"/>
      <c r="L243" s="210"/>
      <c r="M243" s="215"/>
      <c r="N243" s="899"/>
      <c r="O243" s="215"/>
    </row>
    <row r="244" spans="1:15" ht="20.100000000000001" customHeight="1" x14ac:dyDescent="0.25">
      <c r="A244" s="878" t="s">
        <v>2136</v>
      </c>
      <c r="B244" s="211" t="s">
        <v>395</v>
      </c>
      <c r="C244" s="234" t="s">
        <v>91</v>
      </c>
      <c r="D244" s="188" t="s">
        <v>92</v>
      </c>
      <c r="E244" s="294" t="s">
        <v>167</v>
      </c>
      <c r="F244" s="184" t="s">
        <v>350</v>
      </c>
      <c r="G244" s="285">
        <v>70740</v>
      </c>
      <c r="H244" s="318" t="s">
        <v>109</v>
      </c>
      <c r="I244" s="200">
        <v>1500000</v>
      </c>
      <c r="J244" s="201">
        <v>345471.53069149022</v>
      </c>
      <c r="K244" s="633"/>
      <c r="L244" s="202"/>
      <c r="M244" s="901"/>
      <c r="N244" s="899"/>
      <c r="O244" s="901"/>
    </row>
    <row r="245" spans="1:15" ht="20.100000000000001" customHeight="1" x14ac:dyDescent="0.25">
      <c r="A245" s="878" t="s">
        <v>2117</v>
      </c>
      <c r="B245" s="198" t="s">
        <v>396</v>
      </c>
      <c r="C245" s="234" t="s">
        <v>91</v>
      </c>
      <c r="D245" s="188" t="s">
        <v>92</v>
      </c>
      <c r="E245" s="294" t="s">
        <v>167</v>
      </c>
      <c r="F245" s="184" t="s">
        <v>397</v>
      </c>
      <c r="G245" s="285">
        <v>70740</v>
      </c>
      <c r="H245" s="318" t="s">
        <v>109</v>
      </c>
      <c r="I245" s="200">
        <v>20000</v>
      </c>
      <c r="J245" s="200"/>
      <c r="K245" s="633"/>
      <c r="L245" s="222"/>
      <c r="M245" s="908"/>
      <c r="N245" s="899"/>
      <c r="O245" s="903"/>
    </row>
    <row r="246" spans="1:15" ht="20.100000000000001" customHeight="1" x14ac:dyDescent="0.25">
      <c r="A246" s="878" t="s">
        <v>2144</v>
      </c>
      <c r="B246" s="198" t="s">
        <v>398</v>
      </c>
      <c r="C246" s="234" t="s">
        <v>91</v>
      </c>
      <c r="D246" s="188" t="s">
        <v>92</v>
      </c>
      <c r="E246" s="294" t="s">
        <v>167</v>
      </c>
      <c r="F246" s="184" t="s">
        <v>397</v>
      </c>
      <c r="G246" s="285">
        <v>70740</v>
      </c>
      <c r="H246" s="318" t="s">
        <v>109</v>
      </c>
      <c r="I246" s="226">
        <v>200000000</v>
      </c>
      <c r="J246" s="201">
        <v>148059227.82254094</v>
      </c>
      <c r="K246" s="633"/>
      <c r="L246" s="202"/>
      <c r="M246" s="907"/>
      <c r="N246" s="899"/>
      <c r="O246" s="901"/>
    </row>
    <row r="247" spans="1:15" ht="20.100000000000001" customHeight="1" x14ac:dyDescent="0.25">
      <c r="A247" s="878" t="s">
        <v>2144</v>
      </c>
      <c r="B247" s="211" t="s">
        <v>399</v>
      </c>
      <c r="C247" s="234" t="s">
        <v>91</v>
      </c>
      <c r="D247" s="188" t="s">
        <v>92</v>
      </c>
      <c r="E247" s="294" t="s">
        <v>167</v>
      </c>
      <c r="F247" s="184" t="s">
        <v>400</v>
      </c>
      <c r="G247" s="285">
        <v>70740</v>
      </c>
      <c r="H247" s="318" t="s">
        <v>109</v>
      </c>
      <c r="I247" s="200">
        <v>200000000</v>
      </c>
      <c r="J247" s="200"/>
      <c r="K247" s="633"/>
      <c r="L247" s="222"/>
      <c r="M247" s="908"/>
      <c r="N247" s="899"/>
      <c r="O247" s="901"/>
    </row>
    <row r="248" spans="1:15" ht="20.100000000000001" customHeight="1" x14ac:dyDescent="0.25">
      <c r="A248" s="316"/>
      <c r="B248" s="888" t="s">
        <v>117</v>
      </c>
      <c r="C248" s="235"/>
      <c r="D248" s="188"/>
      <c r="E248" s="294"/>
      <c r="F248" s="184"/>
      <c r="G248" s="285"/>
      <c r="H248" s="318"/>
      <c r="I248" s="206">
        <f>SUM(I244:I247)</f>
        <v>401520000</v>
      </c>
      <c r="J248" s="206">
        <f>SUM(J244:J247)</f>
        <v>148404699.35323244</v>
      </c>
      <c r="K248" s="633"/>
      <c r="L248" s="207"/>
      <c r="M248" s="908"/>
      <c r="N248" s="899"/>
      <c r="O248" s="269"/>
    </row>
    <row r="249" spans="1:15" ht="42" customHeight="1" x14ac:dyDescent="0.25">
      <c r="A249" s="650"/>
      <c r="B249" s="651">
        <v>16</v>
      </c>
      <c r="C249" s="236"/>
      <c r="D249" s="221"/>
      <c r="E249" s="655"/>
      <c r="F249" s="220"/>
      <c r="G249" s="661"/>
      <c r="H249" s="656"/>
      <c r="I249" s="222"/>
      <c r="J249" s="222"/>
      <c r="K249" s="633"/>
      <c r="L249" s="222"/>
      <c r="M249" s="908"/>
      <c r="N249" s="899"/>
      <c r="O249" s="269"/>
    </row>
    <row r="250" spans="1:15" ht="21" customHeight="1" x14ac:dyDescent="0.25">
      <c r="A250" s="316"/>
      <c r="B250" s="223" t="s">
        <v>401</v>
      </c>
      <c r="C250" s="316"/>
      <c r="D250" s="224"/>
      <c r="E250" s="224"/>
      <c r="F250" s="224"/>
      <c r="G250" s="224"/>
      <c r="H250" s="224"/>
      <c r="I250" s="197"/>
      <c r="J250" s="197"/>
      <c r="K250" s="633"/>
      <c r="L250" s="210"/>
      <c r="M250" s="215"/>
      <c r="N250" s="899"/>
      <c r="O250" s="215"/>
    </row>
    <row r="251" spans="1:15" ht="21" customHeight="1" x14ac:dyDescent="0.25">
      <c r="A251" s="878" t="s">
        <v>2095</v>
      </c>
      <c r="B251" s="198" t="s">
        <v>402</v>
      </c>
      <c r="C251" s="234" t="s">
        <v>91</v>
      </c>
      <c r="D251" s="678" t="s">
        <v>92</v>
      </c>
      <c r="E251" s="294" t="s">
        <v>403</v>
      </c>
      <c r="F251" s="188" t="s">
        <v>404</v>
      </c>
      <c r="G251" s="285">
        <v>70630</v>
      </c>
      <c r="H251" s="318" t="s">
        <v>109</v>
      </c>
      <c r="I251" s="200">
        <v>15000000</v>
      </c>
      <c r="J251" s="201">
        <v>9901.534543081194</v>
      </c>
      <c r="K251" s="633"/>
      <c r="L251" s="931"/>
      <c r="M251" s="901"/>
      <c r="N251" s="899"/>
      <c r="O251" s="901"/>
    </row>
    <row r="252" spans="1:15" ht="21" customHeight="1" x14ac:dyDescent="0.25">
      <c r="A252" s="316"/>
      <c r="B252" s="888" t="s">
        <v>117</v>
      </c>
      <c r="C252" s="234"/>
      <c r="D252" s="678"/>
      <c r="E252" s="649"/>
      <c r="F252" s="188"/>
      <c r="G252" s="285"/>
      <c r="H252" s="318"/>
      <c r="I252" s="200"/>
      <c r="J252" s="200"/>
      <c r="K252" s="633"/>
      <c r="L252" s="222"/>
      <c r="M252" s="908"/>
      <c r="N252" s="899"/>
      <c r="O252" s="269"/>
    </row>
    <row r="253" spans="1:15" ht="21" customHeight="1" x14ac:dyDescent="0.25">
      <c r="A253" s="316"/>
      <c r="B253" s="674" t="s">
        <v>405</v>
      </c>
      <c r="C253" s="316"/>
      <c r="D253" s="678"/>
      <c r="E253" s="316"/>
      <c r="F253" s="188"/>
      <c r="G253" s="285"/>
      <c r="H253" s="318"/>
      <c r="I253" s="200"/>
      <c r="J253" s="200"/>
      <c r="K253" s="633"/>
      <c r="L253" s="222"/>
      <c r="M253" s="908"/>
      <c r="N253" s="899"/>
      <c r="O253" s="901"/>
    </row>
    <row r="254" spans="1:15" ht="21" customHeight="1" x14ac:dyDescent="0.25">
      <c r="A254" s="316"/>
      <c r="B254" s="198" t="s">
        <v>406</v>
      </c>
      <c r="C254" s="234" t="s">
        <v>91</v>
      </c>
      <c r="D254" s="678" t="s">
        <v>92</v>
      </c>
      <c r="E254" s="294" t="s">
        <v>189</v>
      </c>
      <c r="F254" s="188" t="s">
        <v>407</v>
      </c>
      <c r="G254" s="285">
        <v>70131</v>
      </c>
      <c r="H254" s="318" t="s">
        <v>109</v>
      </c>
      <c r="I254" s="200"/>
      <c r="J254" s="201"/>
      <c r="K254" s="633"/>
      <c r="L254" s="202"/>
      <c r="M254" s="901"/>
      <c r="N254" s="899"/>
      <c r="O254" s="901"/>
    </row>
    <row r="255" spans="1:15" ht="21" customHeight="1" x14ac:dyDescent="0.25">
      <c r="A255" s="316"/>
      <c r="B255" s="198" t="s">
        <v>408</v>
      </c>
      <c r="C255" s="235"/>
      <c r="D255" s="678"/>
      <c r="E255" s="294"/>
      <c r="F255" s="188"/>
      <c r="G255" s="285"/>
      <c r="H255" s="318"/>
      <c r="I255" s="200"/>
      <c r="J255" s="200"/>
      <c r="K255" s="633"/>
      <c r="L255" s="222"/>
      <c r="M255" s="901"/>
      <c r="N255" s="899"/>
      <c r="O255" s="901"/>
    </row>
    <row r="256" spans="1:15" ht="21" customHeight="1" x14ac:dyDescent="0.25">
      <c r="A256" s="316"/>
      <c r="B256" s="888" t="s">
        <v>117</v>
      </c>
      <c r="C256" s="234"/>
      <c r="D256" s="188"/>
      <c r="E256" s="294"/>
      <c r="F256" s="184"/>
      <c r="G256" s="285"/>
      <c r="H256" s="678"/>
      <c r="I256" s="204">
        <f>SUM(I254:I255)</f>
        <v>0</v>
      </c>
      <c r="J256" s="204">
        <f>SUM(J254:J255)</f>
        <v>0</v>
      </c>
      <c r="K256" s="633"/>
      <c r="L256" s="203"/>
      <c r="M256" s="902"/>
      <c r="N256" s="899"/>
      <c r="O256" s="920"/>
    </row>
    <row r="257" spans="1:15" ht="21" customHeight="1" x14ac:dyDescent="0.25">
      <c r="A257" s="316"/>
      <c r="B257" s="223" t="s">
        <v>183</v>
      </c>
      <c r="C257" s="316"/>
      <c r="D257" s="224"/>
      <c r="E257" s="224"/>
      <c r="F257" s="224"/>
      <c r="G257" s="224"/>
      <c r="H257" s="224"/>
      <c r="I257" s="197"/>
      <c r="J257" s="197"/>
      <c r="K257" s="633"/>
      <c r="L257" s="210"/>
      <c r="M257" s="215"/>
      <c r="N257" s="899"/>
      <c r="O257" s="215"/>
    </row>
    <row r="258" spans="1:15" ht="21" customHeight="1" x14ac:dyDescent="0.25">
      <c r="A258" s="878" t="s">
        <v>2145</v>
      </c>
      <c r="B258" s="198" t="s">
        <v>409</v>
      </c>
      <c r="C258" s="234" t="s">
        <v>91</v>
      </c>
      <c r="D258" s="188" t="s">
        <v>92</v>
      </c>
      <c r="E258" s="294" t="s">
        <v>185</v>
      </c>
      <c r="F258" s="188" t="s">
        <v>186</v>
      </c>
      <c r="G258" s="285">
        <v>70320</v>
      </c>
      <c r="H258" s="318" t="s">
        <v>109</v>
      </c>
      <c r="I258" s="200">
        <v>25000000</v>
      </c>
      <c r="J258" s="200"/>
      <c r="K258" s="633"/>
      <c r="L258" s="222"/>
      <c r="M258" s="901"/>
      <c r="N258" s="899"/>
      <c r="O258" s="901"/>
    </row>
    <row r="259" spans="1:15" ht="21" customHeight="1" x14ac:dyDescent="0.25">
      <c r="A259" s="878" t="s">
        <v>2098</v>
      </c>
      <c r="B259" s="198" t="s">
        <v>410</v>
      </c>
      <c r="C259" s="234" t="s">
        <v>91</v>
      </c>
      <c r="D259" s="188" t="s">
        <v>92</v>
      </c>
      <c r="E259" s="294" t="s">
        <v>185</v>
      </c>
      <c r="F259" s="188" t="s">
        <v>411</v>
      </c>
      <c r="G259" s="285">
        <v>70320</v>
      </c>
      <c r="H259" s="318" t="s">
        <v>109</v>
      </c>
      <c r="I259" s="200">
        <v>20000000</v>
      </c>
      <c r="J259" s="200"/>
      <c r="K259" s="633"/>
      <c r="L259" s="222"/>
      <c r="M259" s="908"/>
      <c r="N259" s="899"/>
      <c r="O259" s="903"/>
    </row>
    <row r="260" spans="1:15" ht="21" customHeight="1" x14ac:dyDescent="0.25">
      <c r="A260" s="878" t="s">
        <v>2098</v>
      </c>
      <c r="B260" s="198" t="s">
        <v>412</v>
      </c>
      <c r="C260" s="234" t="s">
        <v>91</v>
      </c>
      <c r="D260" s="188" t="s">
        <v>92</v>
      </c>
      <c r="E260" s="294" t="s">
        <v>185</v>
      </c>
      <c r="F260" s="188" t="s">
        <v>411</v>
      </c>
      <c r="G260" s="285">
        <v>70320</v>
      </c>
      <c r="H260" s="318" t="s">
        <v>109</v>
      </c>
      <c r="I260" s="200">
        <v>20000000</v>
      </c>
      <c r="J260" s="200"/>
      <c r="K260" s="633"/>
      <c r="L260" s="222"/>
      <c r="M260" s="901"/>
      <c r="N260" s="899"/>
      <c r="O260" s="901"/>
    </row>
    <row r="261" spans="1:15" ht="21" customHeight="1" x14ac:dyDescent="0.25">
      <c r="A261" s="878" t="s">
        <v>2098</v>
      </c>
      <c r="B261" s="198" t="s">
        <v>413</v>
      </c>
      <c r="C261" s="234" t="s">
        <v>91</v>
      </c>
      <c r="D261" s="188" t="s">
        <v>92</v>
      </c>
      <c r="E261" s="294" t="s">
        <v>185</v>
      </c>
      <c r="F261" s="188" t="s">
        <v>411</v>
      </c>
      <c r="G261" s="285">
        <v>70320</v>
      </c>
      <c r="H261" s="318" t="s">
        <v>109</v>
      </c>
      <c r="I261" s="200">
        <v>1000000</v>
      </c>
      <c r="J261" s="200"/>
      <c r="K261" s="633"/>
      <c r="L261" s="222"/>
      <c r="M261" s="901"/>
      <c r="N261" s="899"/>
      <c r="O261" s="901"/>
    </row>
    <row r="262" spans="1:15" ht="21" customHeight="1" x14ac:dyDescent="0.25">
      <c r="A262" s="316"/>
      <c r="B262" s="888" t="s">
        <v>117</v>
      </c>
      <c r="C262" s="231"/>
      <c r="D262" s="225"/>
      <c r="E262" s="225"/>
      <c r="F262" s="225"/>
      <c r="G262" s="225"/>
      <c r="H262" s="225"/>
      <c r="I262" s="194">
        <f>SUM(I258:I261)</f>
        <v>66000000</v>
      </c>
      <c r="J262" s="232">
        <f>SUM(J258:J261)</f>
        <v>0</v>
      </c>
      <c r="K262" s="633"/>
      <c r="L262" s="250"/>
      <c r="M262" s="269"/>
      <c r="N262" s="899"/>
      <c r="O262" s="269"/>
    </row>
    <row r="263" spans="1:15" ht="21" customHeight="1" x14ac:dyDescent="0.25">
      <c r="A263" s="316"/>
      <c r="B263" s="228" t="s">
        <v>414</v>
      </c>
      <c r="C263" s="316"/>
      <c r="D263" s="224"/>
      <c r="E263" s="224"/>
      <c r="F263" s="224"/>
      <c r="G263" s="224"/>
      <c r="H263" s="224"/>
      <c r="I263" s="197"/>
      <c r="J263" s="197"/>
      <c r="K263" s="633"/>
      <c r="L263" s="210"/>
      <c r="M263" s="215"/>
      <c r="N263" s="899"/>
      <c r="O263" s="215"/>
    </row>
    <row r="264" spans="1:15" ht="21" customHeight="1" x14ac:dyDescent="0.25">
      <c r="A264" s="878" t="s">
        <v>2094</v>
      </c>
      <c r="B264" s="198" t="s">
        <v>415</v>
      </c>
      <c r="C264" s="234" t="s">
        <v>91</v>
      </c>
      <c r="D264" s="188" t="s">
        <v>92</v>
      </c>
      <c r="E264" s="294" t="s">
        <v>416</v>
      </c>
      <c r="F264" s="188" t="s">
        <v>417</v>
      </c>
      <c r="G264" s="285">
        <v>70133</v>
      </c>
      <c r="H264" s="318" t="s">
        <v>109</v>
      </c>
      <c r="I264" s="200">
        <v>2500000</v>
      </c>
      <c r="J264" s="201">
        <v>2475383.6357702981</v>
      </c>
      <c r="K264" s="633"/>
      <c r="L264" s="202"/>
      <c r="M264" s="901"/>
      <c r="N264" s="899"/>
      <c r="O264" s="901"/>
    </row>
    <row r="265" spans="1:15" ht="21" customHeight="1" x14ac:dyDescent="0.25">
      <c r="A265" s="316"/>
      <c r="B265" s="888" t="s">
        <v>117</v>
      </c>
      <c r="C265" s="234"/>
      <c r="D265" s="188"/>
      <c r="E265" s="294"/>
      <c r="F265" s="184"/>
      <c r="G265" s="285"/>
      <c r="H265" s="678"/>
      <c r="I265" s="672"/>
      <c r="J265" s="672"/>
      <c r="K265" s="633"/>
      <c r="L265" s="284"/>
      <c r="M265" s="902"/>
      <c r="N265" s="899"/>
      <c r="O265" s="920"/>
    </row>
    <row r="266" spans="1:15" ht="21" customHeight="1" x14ac:dyDescent="0.25">
      <c r="B266" s="223" t="s">
        <v>418</v>
      </c>
      <c r="C266" s="316"/>
      <c r="D266" s="224"/>
      <c r="E266" s="224"/>
      <c r="F266" s="224"/>
      <c r="G266" s="224"/>
      <c r="H266" s="224"/>
      <c r="I266" s="197"/>
      <c r="J266" s="197"/>
      <c r="K266" s="633"/>
      <c r="L266" s="210"/>
      <c r="M266" s="215"/>
      <c r="N266" s="899"/>
      <c r="O266" s="215"/>
    </row>
    <row r="267" spans="1:15" ht="21" customHeight="1" x14ac:dyDescent="0.25">
      <c r="A267" s="878" t="s">
        <v>2108</v>
      </c>
      <c r="B267" s="281" t="s">
        <v>419</v>
      </c>
      <c r="C267" s="234" t="s">
        <v>91</v>
      </c>
      <c r="D267" s="188" t="s">
        <v>92</v>
      </c>
      <c r="E267" s="294" t="s">
        <v>199</v>
      </c>
      <c r="F267" s="188" t="s">
        <v>293</v>
      </c>
      <c r="G267" s="285" t="s">
        <v>420</v>
      </c>
      <c r="H267" s="318" t="s">
        <v>109</v>
      </c>
      <c r="I267" s="200">
        <v>10000000</v>
      </c>
      <c r="J267" s="200"/>
      <c r="K267" s="633"/>
      <c r="L267" s="222"/>
      <c r="M267" s="903"/>
      <c r="N267" s="899"/>
      <c r="O267" s="901"/>
    </row>
    <row r="268" spans="1:15" ht="21" customHeight="1" x14ac:dyDescent="0.25">
      <c r="A268" s="878" t="s">
        <v>2098</v>
      </c>
      <c r="B268" s="281" t="s">
        <v>421</v>
      </c>
      <c r="C268" s="234" t="s">
        <v>91</v>
      </c>
      <c r="D268" s="188" t="s">
        <v>92</v>
      </c>
      <c r="E268" s="294" t="s">
        <v>199</v>
      </c>
      <c r="F268" s="188" t="s">
        <v>411</v>
      </c>
      <c r="G268" s="285">
        <v>70411</v>
      </c>
      <c r="H268" s="318" t="s">
        <v>109</v>
      </c>
      <c r="I268" s="200">
        <v>10000</v>
      </c>
      <c r="J268" s="200"/>
      <c r="K268" s="633"/>
      <c r="L268" s="222"/>
      <c r="M268" s="917"/>
      <c r="N268" s="899"/>
      <c r="O268" s="901"/>
    </row>
    <row r="269" spans="1:15" ht="21" customHeight="1" x14ac:dyDescent="0.25">
      <c r="A269" s="878" t="s">
        <v>2138</v>
      </c>
      <c r="B269" s="281" t="s">
        <v>422</v>
      </c>
      <c r="C269" s="234" t="s">
        <v>91</v>
      </c>
      <c r="D269" s="188" t="s">
        <v>92</v>
      </c>
      <c r="E269" s="294" t="s">
        <v>199</v>
      </c>
      <c r="F269" s="188" t="s">
        <v>361</v>
      </c>
      <c r="G269" s="285">
        <v>70411</v>
      </c>
      <c r="H269" s="318" t="s">
        <v>109</v>
      </c>
      <c r="I269" s="319">
        <v>6300</v>
      </c>
      <c r="J269" s="200"/>
      <c r="K269" s="633"/>
      <c r="L269" s="222"/>
      <c r="M269" s="932"/>
      <c r="N269" s="899"/>
      <c r="O269" s="901"/>
    </row>
    <row r="270" spans="1:15" ht="21" customHeight="1" x14ac:dyDescent="0.25">
      <c r="A270" s="316"/>
      <c r="B270" s="888" t="s">
        <v>117</v>
      </c>
      <c r="C270" s="234"/>
      <c r="D270" s="224"/>
      <c r="E270" s="294"/>
      <c r="F270" s="188"/>
      <c r="G270" s="285"/>
      <c r="H270" s="318"/>
      <c r="I270" s="319">
        <f>SUM(I267:I269)</f>
        <v>10016300</v>
      </c>
      <c r="J270" s="204">
        <f>SUM(J267:J269)</f>
        <v>0</v>
      </c>
      <c r="K270" s="633"/>
      <c r="L270" s="203"/>
      <c r="M270" s="917"/>
      <c r="N270" s="899"/>
      <c r="O270" s="269"/>
    </row>
    <row r="271" spans="1:15" ht="42" customHeight="1" x14ac:dyDescent="0.25">
      <c r="A271" s="650"/>
      <c r="B271" s="651">
        <v>17</v>
      </c>
      <c r="C271" s="292"/>
      <c r="D271" s="208"/>
      <c r="E271" s="655"/>
      <c r="F271" s="221"/>
      <c r="G271" s="661"/>
      <c r="H271" s="656"/>
      <c r="I271" s="679"/>
      <c r="J271" s="222"/>
      <c r="K271" s="633"/>
      <c r="L271" s="222"/>
      <c r="M271" s="917"/>
      <c r="N271" s="899"/>
      <c r="O271" s="269"/>
    </row>
    <row r="272" spans="1:15" ht="20.100000000000001" customHeight="1" x14ac:dyDescent="0.25">
      <c r="A272" s="316"/>
      <c r="B272" s="223" t="s">
        <v>215</v>
      </c>
      <c r="C272" s="316"/>
      <c r="D272" s="224"/>
      <c r="E272" s="224"/>
      <c r="F272" s="224"/>
      <c r="G272" s="224"/>
      <c r="H272" s="224"/>
      <c r="I272" s="197"/>
      <c r="J272" s="197"/>
      <c r="K272" s="633"/>
      <c r="L272" s="210"/>
      <c r="M272" s="215"/>
      <c r="N272" s="899"/>
      <c r="O272" s="215"/>
    </row>
    <row r="273" spans="1:15" ht="20.100000000000001" customHeight="1" x14ac:dyDescent="0.25">
      <c r="A273" s="878" t="s">
        <v>2136</v>
      </c>
      <c r="B273" s="198" t="s">
        <v>423</v>
      </c>
      <c r="C273" s="234" t="s">
        <v>91</v>
      </c>
      <c r="D273" s="188" t="s">
        <v>92</v>
      </c>
      <c r="E273" s="294" t="s">
        <v>218</v>
      </c>
      <c r="F273" s="184" t="s">
        <v>350</v>
      </c>
      <c r="G273" s="285">
        <v>70922</v>
      </c>
      <c r="H273" s="318" t="s">
        <v>109</v>
      </c>
      <c r="I273" s="200">
        <v>5854479</v>
      </c>
      <c r="J273" s="200"/>
      <c r="K273" s="633"/>
      <c r="L273" s="222"/>
      <c r="M273" s="908"/>
      <c r="N273" s="899"/>
      <c r="O273" s="903"/>
    </row>
    <row r="274" spans="1:15" ht="20.100000000000001" customHeight="1" x14ac:dyDescent="0.25">
      <c r="A274" s="878" t="s">
        <v>2136</v>
      </c>
      <c r="B274" s="198" t="s">
        <v>424</v>
      </c>
      <c r="C274" s="234" t="s">
        <v>91</v>
      </c>
      <c r="D274" s="188" t="s">
        <v>92</v>
      </c>
      <c r="E274" s="294" t="s">
        <v>218</v>
      </c>
      <c r="F274" s="184" t="s">
        <v>350</v>
      </c>
      <c r="G274" s="285">
        <v>70922</v>
      </c>
      <c r="H274" s="318" t="s">
        <v>109</v>
      </c>
      <c r="I274" s="200">
        <v>341511</v>
      </c>
      <c r="J274" s="200"/>
      <c r="K274" s="633"/>
      <c r="L274" s="222"/>
      <c r="M274" s="908"/>
      <c r="N274" s="899"/>
      <c r="O274" s="903"/>
    </row>
    <row r="275" spans="1:15" ht="20.100000000000001" customHeight="1" x14ac:dyDescent="0.25">
      <c r="A275" s="878" t="s">
        <v>2125</v>
      </c>
      <c r="B275" s="198" t="s">
        <v>341</v>
      </c>
      <c r="C275" s="234" t="s">
        <v>91</v>
      </c>
      <c r="D275" s="188" t="s">
        <v>92</v>
      </c>
      <c r="E275" s="667" t="s">
        <v>218</v>
      </c>
      <c r="F275" s="184" t="s">
        <v>296</v>
      </c>
      <c r="G275" s="285">
        <v>70922</v>
      </c>
      <c r="H275" s="318" t="s">
        <v>109</v>
      </c>
      <c r="I275" s="200">
        <v>100000000</v>
      </c>
      <c r="J275" s="200"/>
      <c r="K275" s="633"/>
      <c r="L275" s="222"/>
      <c r="M275" s="908"/>
      <c r="N275" s="899"/>
      <c r="O275" s="901"/>
    </row>
    <row r="276" spans="1:15" ht="20.100000000000001" customHeight="1" x14ac:dyDescent="0.25">
      <c r="A276" s="878" t="s">
        <v>2125</v>
      </c>
      <c r="B276" s="198" t="s">
        <v>425</v>
      </c>
      <c r="C276" s="234" t="s">
        <v>91</v>
      </c>
      <c r="D276" s="188" t="s">
        <v>92</v>
      </c>
      <c r="E276" s="294" t="s">
        <v>218</v>
      </c>
      <c r="F276" s="184" t="s">
        <v>296</v>
      </c>
      <c r="G276" s="285">
        <v>70922</v>
      </c>
      <c r="H276" s="318" t="s">
        <v>109</v>
      </c>
      <c r="I276" s="200">
        <v>10000000</v>
      </c>
      <c r="J276" s="200"/>
      <c r="K276" s="633"/>
      <c r="L276" s="222"/>
      <c r="M276" s="908"/>
      <c r="N276" s="899"/>
      <c r="O276" s="901"/>
    </row>
    <row r="277" spans="1:15" ht="20.100000000000001" customHeight="1" x14ac:dyDescent="0.25">
      <c r="A277" s="316"/>
      <c r="B277" s="198" t="s">
        <v>426</v>
      </c>
      <c r="C277" s="234" t="s">
        <v>91</v>
      </c>
      <c r="D277" s="188" t="s">
        <v>92</v>
      </c>
      <c r="E277" s="294" t="s">
        <v>218</v>
      </c>
      <c r="F277" s="184" t="s">
        <v>427</v>
      </c>
      <c r="G277" s="285">
        <v>70922</v>
      </c>
      <c r="H277" s="318" t="s">
        <v>109</v>
      </c>
      <c r="I277" s="200">
        <v>10000000</v>
      </c>
      <c r="J277" s="200"/>
      <c r="K277" s="633"/>
      <c r="L277" s="222"/>
      <c r="M277" s="901"/>
      <c r="N277" s="899"/>
      <c r="O277" s="901"/>
    </row>
    <row r="278" spans="1:15" ht="20.100000000000001" customHeight="1" x14ac:dyDescent="0.25">
      <c r="A278" s="316"/>
      <c r="B278" s="198" t="s">
        <v>428</v>
      </c>
      <c r="C278" s="234" t="s">
        <v>91</v>
      </c>
      <c r="D278" s="188" t="s">
        <v>92</v>
      </c>
      <c r="E278" s="294" t="s">
        <v>218</v>
      </c>
      <c r="F278" s="184" t="s">
        <v>411</v>
      </c>
      <c r="G278" s="285">
        <v>70922</v>
      </c>
      <c r="H278" s="318" t="s">
        <v>109</v>
      </c>
      <c r="I278" s="319">
        <v>10000</v>
      </c>
      <c r="J278" s="200"/>
      <c r="K278" s="633"/>
      <c r="L278" s="222"/>
      <c r="M278" s="907"/>
      <c r="N278" s="899"/>
      <c r="O278" s="901"/>
    </row>
    <row r="279" spans="1:15" ht="20.100000000000001" customHeight="1" x14ac:dyDescent="0.25">
      <c r="A279" s="316"/>
      <c r="B279" s="888" t="s">
        <v>117</v>
      </c>
      <c r="C279" s="231"/>
      <c r="D279" s="225"/>
      <c r="E279" s="225"/>
      <c r="F279" s="225"/>
      <c r="G279" s="225"/>
      <c r="H279" s="225"/>
      <c r="I279" s="194">
        <f>SUM(I273:I278)</f>
        <v>126205990</v>
      </c>
      <c r="J279" s="286">
        <f>SUM(J273:J278)</f>
        <v>0</v>
      </c>
      <c r="K279" s="633"/>
      <c r="L279" s="287"/>
      <c r="M279" s="933"/>
      <c r="N279" s="899"/>
      <c r="O279" s="906"/>
    </row>
    <row r="280" spans="1:15" ht="20.100000000000001" customHeight="1" x14ac:dyDescent="0.25">
      <c r="A280" s="316"/>
      <c r="B280" s="223" t="s">
        <v>429</v>
      </c>
      <c r="C280" s="316"/>
      <c r="D280" s="224"/>
      <c r="E280" s="224"/>
      <c r="F280" s="224"/>
      <c r="G280" s="224"/>
      <c r="H280" s="224"/>
      <c r="I280" s="197"/>
      <c r="J280" s="197"/>
      <c r="K280" s="633"/>
      <c r="L280" s="210"/>
      <c r="M280" s="215"/>
      <c r="N280" s="899"/>
      <c r="O280" s="215"/>
    </row>
    <row r="281" spans="1:15" ht="20.100000000000001" customHeight="1" x14ac:dyDescent="0.25">
      <c r="A281" s="878" t="s">
        <v>2147</v>
      </c>
      <c r="B281" s="198" t="s">
        <v>430</v>
      </c>
      <c r="C281" s="234" t="s">
        <v>91</v>
      </c>
      <c r="D281" s="188" t="s">
        <v>92</v>
      </c>
      <c r="E281" s="294" t="s">
        <v>431</v>
      </c>
      <c r="F281" s="184" t="s">
        <v>261</v>
      </c>
      <c r="G281" s="294" t="s">
        <v>432</v>
      </c>
      <c r="H281" s="318" t="s">
        <v>109</v>
      </c>
      <c r="I281" s="200">
        <v>3125060</v>
      </c>
      <c r="J281" s="201">
        <v>1579298.434080919</v>
      </c>
      <c r="K281" s="633"/>
      <c r="L281" s="202"/>
      <c r="M281" s="901"/>
      <c r="N281" s="899"/>
      <c r="O281" s="901"/>
    </row>
    <row r="282" spans="1:15" ht="20.100000000000001" customHeight="1" x14ac:dyDescent="0.25">
      <c r="A282" s="878" t="s">
        <v>2147</v>
      </c>
      <c r="B282" s="198" t="s">
        <v>433</v>
      </c>
      <c r="C282" s="234" t="s">
        <v>91</v>
      </c>
      <c r="D282" s="188" t="s">
        <v>92</v>
      </c>
      <c r="E282" s="294" t="s">
        <v>431</v>
      </c>
      <c r="F282" s="184" t="s">
        <v>261</v>
      </c>
      <c r="G282" s="294" t="s">
        <v>432</v>
      </c>
      <c r="H282" s="318" t="s">
        <v>109</v>
      </c>
      <c r="I282" s="200">
        <v>2538000</v>
      </c>
      <c r="J282" s="201">
        <v>2467653.8047985509</v>
      </c>
      <c r="K282" s="633"/>
      <c r="L282" s="202"/>
      <c r="M282" s="901"/>
      <c r="N282" s="899"/>
      <c r="O282" s="901"/>
    </row>
    <row r="283" spans="1:15" ht="20.100000000000001" customHeight="1" x14ac:dyDescent="0.25">
      <c r="A283" s="878" t="s">
        <v>2125</v>
      </c>
      <c r="B283" s="198" t="s">
        <v>434</v>
      </c>
      <c r="C283" s="234" t="s">
        <v>91</v>
      </c>
      <c r="D283" s="188" t="s">
        <v>92</v>
      </c>
      <c r="E283" s="294" t="s">
        <v>431</v>
      </c>
      <c r="F283" s="184" t="s">
        <v>296</v>
      </c>
      <c r="G283" s="294" t="s">
        <v>432</v>
      </c>
      <c r="H283" s="318" t="s">
        <v>109</v>
      </c>
      <c r="I283" s="200">
        <v>588000</v>
      </c>
      <c r="J283" s="200"/>
      <c r="K283" s="633"/>
      <c r="L283" s="222"/>
      <c r="M283" s="311"/>
      <c r="N283" s="899"/>
      <c r="O283" s="903"/>
    </row>
    <row r="284" spans="1:15" ht="20.100000000000001" customHeight="1" x14ac:dyDescent="0.25">
      <c r="A284" s="878" t="s">
        <v>2125</v>
      </c>
      <c r="B284" s="198" t="s">
        <v>435</v>
      </c>
      <c r="C284" s="234" t="s">
        <v>91</v>
      </c>
      <c r="D284" s="188" t="s">
        <v>92</v>
      </c>
      <c r="E284" s="294" t="s">
        <v>431</v>
      </c>
      <c r="F284" s="184" t="s">
        <v>296</v>
      </c>
      <c r="G284" s="294" t="s">
        <v>432</v>
      </c>
      <c r="H284" s="318" t="s">
        <v>109</v>
      </c>
      <c r="I284" s="200">
        <v>24000</v>
      </c>
      <c r="J284" s="201">
        <v>592236.91117134527</v>
      </c>
      <c r="K284" s="633"/>
      <c r="L284" s="202"/>
      <c r="M284" s="311"/>
      <c r="N284" s="899"/>
      <c r="O284" s="903"/>
    </row>
    <row r="285" spans="1:15" ht="20.100000000000001" customHeight="1" x14ac:dyDescent="0.25">
      <c r="A285" s="878" t="s">
        <v>2147</v>
      </c>
      <c r="B285" s="198" t="s">
        <v>436</v>
      </c>
      <c r="C285" s="234" t="s">
        <v>91</v>
      </c>
      <c r="D285" s="188" t="s">
        <v>92</v>
      </c>
      <c r="E285" s="294" t="s">
        <v>431</v>
      </c>
      <c r="F285" s="184" t="s">
        <v>261</v>
      </c>
      <c r="G285" s="294" t="s">
        <v>432</v>
      </c>
      <c r="H285" s="318" t="s">
        <v>109</v>
      </c>
      <c r="I285" s="226">
        <v>2200000</v>
      </c>
      <c r="J285" s="226"/>
      <c r="K285" s="633"/>
      <c r="L285" s="227"/>
      <c r="M285" s="311"/>
      <c r="N285" s="899"/>
      <c r="O285" s="934"/>
    </row>
    <row r="286" spans="1:15" ht="20.100000000000001" customHeight="1" x14ac:dyDescent="0.25">
      <c r="A286" s="316"/>
      <c r="B286" s="888" t="s">
        <v>117</v>
      </c>
      <c r="C286" s="235"/>
      <c r="D286" s="188"/>
      <c r="E286" s="294"/>
      <c r="F286" s="184"/>
      <c r="G286" s="294"/>
      <c r="H286" s="318"/>
      <c r="I286" s="194">
        <f>SUM(I281:I285)</f>
        <v>8475060</v>
      </c>
      <c r="J286" s="194">
        <f>SUM(J281:J285)</f>
        <v>4639189.1500508152</v>
      </c>
      <c r="K286" s="633"/>
      <c r="L286" s="293"/>
      <c r="M286" s="269"/>
      <c r="N286" s="899"/>
      <c r="O286" s="269"/>
    </row>
    <row r="287" spans="1:15" ht="20.100000000000001" customHeight="1" x14ac:dyDescent="0.25">
      <c r="A287" s="316"/>
      <c r="B287" s="223" t="s">
        <v>437</v>
      </c>
      <c r="C287" s="316"/>
      <c r="D287" s="224"/>
      <c r="E287" s="224"/>
      <c r="F287" s="224"/>
      <c r="G287" s="224"/>
      <c r="H287" s="224"/>
      <c r="I287" s="197"/>
      <c r="J287" s="197"/>
      <c r="K287" s="633"/>
      <c r="L287" s="210"/>
      <c r="M287" s="215"/>
      <c r="N287" s="899"/>
      <c r="O287" s="215"/>
    </row>
    <row r="288" spans="1:15" ht="20.100000000000001" customHeight="1" x14ac:dyDescent="0.25">
      <c r="A288" s="878" t="s">
        <v>2147</v>
      </c>
      <c r="B288" s="211" t="s">
        <v>438</v>
      </c>
      <c r="C288" s="234" t="s">
        <v>91</v>
      </c>
      <c r="D288" s="188" t="s">
        <v>92</v>
      </c>
      <c r="E288" s="294" t="s">
        <v>439</v>
      </c>
      <c r="F288" s="184" t="s">
        <v>261</v>
      </c>
      <c r="G288" s="294" t="s">
        <v>432</v>
      </c>
      <c r="H288" s="318" t="s">
        <v>109</v>
      </c>
      <c r="I288" s="200">
        <v>307101</v>
      </c>
      <c r="J288" s="200"/>
      <c r="K288" s="633"/>
      <c r="L288" s="222"/>
      <c r="M288" s="311"/>
      <c r="N288" s="899"/>
      <c r="O288" s="903"/>
    </row>
    <row r="289" spans="1:15" ht="20.100000000000001" customHeight="1" x14ac:dyDescent="0.25">
      <c r="A289" s="316"/>
      <c r="B289" s="211" t="s">
        <v>440</v>
      </c>
      <c r="C289" s="234"/>
      <c r="D289" s="188"/>
      <c r="E289" s="294"/>
      <c r="F289" s="184"/>
      <c r="G289" s="294"/>
      <c r="H289" s="318"/>
      <c r="I289" s="200"/>
      <c r="J289" s="201">
        <v>493530.76095971017</v>
      </c>
      <c r="K289" s="633"/>
      <c r="L289" s="202"/>
      <c r="M289" s="901"/>
      <c r="N289" s="899"/>
      <c r="O289" s="901"/>
    </row>
    <row r="290" spans="1:15" ht="20.100000000000001" customHeight="1" x14ac:dyDescent="0.25">
      <c r="A290" s="878" t="s">
        <v>2147</v>
      </c>
      <c r="B290" s="198" t="s">
        <v>441</v>
      </c>
      <c r="C290" s="234" t="s">
        <v>91</v>
      </c>
      <c r="D290" s="188" t="s">
        <v>92</v>
      </c>
      <c r="E290" s="294" t="s">
        <v>439</v>
      </c>
      <c r="F290" s="184" t="s">
        <v>261</v>
      </c>
      <c r="G290" s="294" t="s">
        <v>432</v>
      </c>
      <c r="H290" s="318" t="s">
        <v>109</v>
      </c>
      <c r="I290" s="200">
        <v>426529</v>
      </c>
      <c r="J290" s="201">
        <v>355342.14274219342</v>
      </c>
      <c r="K290" s="633"/>
      <c r="L290" s="202"/>
      <c r="M290" s="903"/>
      <c r="N290" s="899"/>
      <c r="O290" s="903"/>
    </row>
    <row r="291" spans="1:15" ht="20.100000000000001" customHeight="1" x14ac:dyDescent="0.25">
      <c r="A291" s="316"/>
      <c r="B291" s="888" t="s">
        <v>117</v>
      </c>
      <c r="C291" s="234"/>
      <c r="D291" s="188"/>
      <c r="E291" s="294"/>
      <c r="F291" s="184"/>
      <c r="G291" s="294"/>
      <c r="H291" s="318"/>
      <c r="I291" s="206">
        <f>SUM(I288:I290)</f>
        <v>733630</v>
      </c>
      <c r="J291" s="212">
        <f>SUM(J288:J290)</f>
        <v>848872.90370190353</v>
      </c>
      <c r="K291" s="633"/>
      <c r="L291" s="213"/>
      <c r="M291" s="903"/>
      <c r="N291" s="899"/>
      <c r="O291" s="903"/>
    </row>
    <row r="292" spans="1:15" ht="20.100000000000001" customHeight="1" x14ac:dyDescent="0.25">
      <c r="A292" s="316"/>
      <c r="B292" s="228" t="s">
        <v>442</v>
      </c>
      <c r="C292" s="316"/>
      <c r="D292" s="224"/>
      <c r="E292" s="224"/>
      <c r="F292" s="224"/>
      <c r="G292" s="224"/>
      <c r="H292" s="224"/>
      <c r="I292" s="197"/>
      <c r="J292" s="197"/>
      <c r="K292" s="633"/>
      <c r="L292" s="210"/>
      <c r="M292" s="215"/>
      <c r="N292" s="899"/>
      <c r="O292" s="215"/>
    </row>
    <row r="293" spans="1:15" ht="20.100000000000001" customHeight="1" x14ac:dyDescent="0.25">
      <c r="A293" s="878" t="s">
        <v>2146</v>
      </c>
      <c r="B293" s="198" t="s">
        <v>443</v>
      </c>
      <c r="C293" s="234" t="s">
        <v>91</v>
      </c>
      <c r="D293" s="188" t="s">
        <v>92</v>
      </c>
      <c r="E293" s="294" t="s">
        <v>444</v>
      </c>
      <c r="F293" s="188" t="s">
        <v>427</v>
      </c>
      <c r="G293" s="294" t="s">
        <v>432</v>
      </c>
      <c r="H293" s="318" t="s">
        <v>109</v>
      </c>
      <c r="I293" s="200">
        <v>500000</v>
      </c>
      <c r="J293" s="200">
        <v>197412299.43311679</v>
      </c>
      <c r="K293" s="633"/>
      <c r="L293" s="222"/>
      <c r="M293" s="901"/>
      <c r="N293" s="899"/>
      <c r="O293" s="901"/>
    </row>
    <row r="294" spans="1:15" ht="20.100000000000001" customHeight="1" x14ac:dyDescent="0.25">
      <c r="A294" s="878" t="s">
        <v>2146</v>
      </c>
      <c r="B294" s="198" t="s">
        <v>445</v>
      </c>
      <c r="C294" s="234" t="s">
        <v>91</v>
      </c>
      <c r="D294" s="188" t="s">
        <v>92</v>
      </c>
      <c r="E294" s="294" t="s">
        <v>444</v>
      </c>
      <c r="F294" s="188" t="s">
        <v>427</v>
      </c>
      <c r="G294" s="294" t="s">
        <v>432</v>
      </c>
      <c r="H294" s="318" t="s">
        <v>109</v>
      </c>
      <c r="I294" s="200">
        <v>100000</v>
      </c>
      <c r="J294" s="201">
        <v>39482.458104347141</v>
      </c>
      <c r="K294" s="633"/>
      <c r="L294" s="202"/>
      <c r="M294" s="901"/>
      <c r="N294" s="899"/>
      <c r="O294" s="901"/>
    </row>
    <row r="295" spans="1:15" ht="20.100000000000001" customHeight="1" x14ac:dyDescent="0.25">
      <c r="A295" s="878" t="s">
        <v>2136</v>
      </c>
      <c r="B295" s="198" t="s">
        <v>446</v>
      </c>
      <c r="C295" s="234" t="s">
        <v>91</v>
      </c>
      <c r="D295" s="188" t="s">
        <v>92</v>
      </c>
      <c r="E295" s="294" t="s">
        <v>444</v>
      </c>
      <c r="F295" s="188" t="s">
        <v>350</v>
      </c>
      <c r="G295" s="294" t="s">
        <v>432</v>
      </c>
      <c r="H295" s="318" t="s">
        <v>109</v>
      </c>
      <c r="I295" s="200">
        <v>200000</v>
      </c>
      <c r="J295" s="201">
        <v>98706.160113169666</v>
      </c>
      <c r="K295" s="633"/>
      <c r="L295" s="202"/>
      <c r="M295" s="901"/>
      <c r="N295" s="899"/>
      <c r="O295" s="901"/>
    </row>
    <row r="296" spans="1:15" ht="20.100000000000001" customHeight="1" x14ac:dyDescent="0.25">
      <c r="A296" s="878" t="s">
        <v>2136</v>
      </c>
      <c r="B296" s="198" t="s">
        <v>447</v>
      </c>
      <c r="C296" s="234" t="s">
        <v>91</v>
      </c>
      <c r="D296" s="188" t="s">
        <v>92</v>
      </c>
      <c r="E296" s="294" t="s">
        <v>444</v>
      </c>
      <c r="F296" s="188" t="s">
        <v>350</v>
      </c>
      <c r="G296" s="294" t="s">
        <v>432</v>
      </c>
      <c r="H296" s="318" t="s">
        <v>109</v>
      </c>
      <c r="I296" s="200">
        <v>300000</v>
      </c>
      <c r="J296" s="201">
        <v>296118.46053643996</v>
      </c>
      <c r="K296" s="633"/>
      <c r="L296" s="202"/>
      <c r="M296" s="901"/>
      <c r="N296" s="899"/>
      <c r="O296" s="901"/>
    </row>
    <row r="297" spans="1:15" ht="20.100000000000001" customHeight="1" x14ac:dyDescent="0.25">
      <c r="A297" s="878" t="s">
        <v>2136</v>
      </c>
      <c r="B297" s="198" t="s">
        <v>448</v>
      </c>
      <c r="C297" s="234" t="s">
        <v>91</v>
      </c>
      <c r="D297" s="188" t="s">
        <v>92</v>
      </c>
      <c r="E297" s="294" t="s">
        <v>444</v>
      </c>
      <c r="F297" s="188" t="s">
        <v>350</v>
      </c>
      <c r="G297" s="294" t="s">
        <v>432</v>
      </c>
      <c r="H297" s="318" t="s">
        <v>109</v>
      </c>
      <c r="I297" s="200">
        <v>250000</v>
      </c>
      <c r="J297" s="200">
        <v>246765.38047985508</v>
      </c>
      <c r="K297" s="633"/>
      <c r="L297" s="222"/>
      <c r="M297" s="901"/>
      <c r="N297" s="899"/>
      <c r="O297" s="901"/>
    </row>
    <row r="298" spans="1:15" ht="20.100000000000001" customHeight="1" x14ac:dyDescent="0.25">
      <c r="A298" s="316"/>
      <c r="B298" s="888" t="s">
        <v>117</v>
      </c>
      <c r="C298" s="235" t="s">
        <v>449</v>
      </c>
      <c r="D298" s="188"/>
      <c r="E298" s="294"/>
      <c r="F298" s="188"/>
      <c r="G298" s="294"/>
      <c r="H298" s="318"/>
      <c r="I298" s="200">
        <f>SUM(I293:I297)</f>
        <v>1350000</v>
      </c>
      <c r="J298" s="206">
        <f>SUM(J293:J297)</f>
        <v>198093371.89235058</v>
      </c>
      <c r="K298" s="633"/>
      <c r="L298" s="207"/>
      <c r="M298" s="311"/>
      <c r="N298" s="899"/>
      <c r="O298" s="269"/>
    </row>
    <row r="299" spans="1:15" ht="42" customHeight="1" x14ac:dyDescent="0.25">
      <c r="A299" s="650"/>
      <c r="B299" s="651">
        <v>18</v>
      </c>
      <c r="C299" s="236"/>
      <c r="D299" s="221"/>
      <c r="E299" s="655"/>
      <c r="F299" s="221"/>
      <c r="G299" s="655"/>
      <c r="H299" s="656"/>
      <c r="I299" s="222"/>
      <c r="J299" s="207"/>
      <c r="K299" s="633"/>
      <c r="L299" s="207"/>
      <c r="M299" s="311"/>
      <c r="N299" s="899"/>
      <c r="O299" s="269"/>
    </row>
    <row r="300" spans="1:15" ht="21" customHeight="1" x14ac:dyDescent="0.25">
      <c r="A300" s="316"/>
      <c r="B300" s="228" t="s">
        <v>234</v>
      </c>
      <c r="C300" s="316"/>
      <c r="D300" s="224"/>
      <c r="E300" s="224"/>
      <c r="F300" s="224"/>
      <c r="G300" s="224"/>
      <c r="H300" s="224"/>
      <c r="I300" s="197"/>
      <c r="J300" s="197"/>
      <c r="K300" s="633"/>
      <c r="L300" s="210"/>
      <c r="M300" s="215"/>
      <c r="N300" s="899"/>
      <c r="O300" s="215"/>
    </row>
    <row r="301" spans="1:15" ht="21" customHeight="1" x14ac:dyDescent="0.25">
      <c r="A301" s="878" t="s">
        <v>2146</v>
      </c>
      <c r="B301" s="265" t="s">
        <v>450</v>
      </c>
      <c r="C301" s="234" t="s">
        <v>91</v>
      </c>
      <c r="D301" s="188" t="s">
        <v>92</v>
      </c>
      <c r="E301" s="294" t="s">
        <v>236</v>
      </c>
      <c r="F301" s="266" t="s">
        <v>427</v>
      </c>
      <c r="G301" s="285">
        <v>71091</v>
      </c>
      <c r="H301" s="318" t="s">
        <v>109</v>
      </c>
      <c r="I301" s="200">
        <v>1500000</v>
      </c>
      <c r="J301" s="201">
        <v>1980306.9086162385</v>
      </c>
      <c r="K301" s="633"/>
      <c r="L301" s="202"/>
      <c r="M301" s="903"/>
      <c r="N301" s="899"/>
      <c r="O301" s="901"/>
    </row>
    <row r="302" spans="1:15" ht="21" customHeight="1" x14ac:dyDescent="0.25">
      <c r="A302" s="878" t="s">
        <v>2125</v>
      </c>
      <c r="B302" s="265" t="s">
        <v>341</v>
      </c>
      <c r="C302" s="234" t="s">
        <v>91</v>
      </c>
      <c r="D302" s="188" t="s">
        <v>92</v>
      </c>
      <c r="E302" s="294" t="s">
        <v>236</v>
      </c>
      <c r="F302" s="266" t="s">
        <v>296</v>
      </c>
      <c r="G302" s="285">
        <v>71091</v>
      </c>
      <c r="H302" s="318" t="s">
        <v>109</v>
      </c>
      <c r="I302" s="200">
        <v>300000</v>
      </c>
      <c r="J302" s="204">
        <v>0</v>
      </c>
      <c r="K302" s="633"/>
      <c r="L302" s="205"/>
      <c r="M302" s="903"/>
      <c r="N302" s="899"/>
      <c r="O302" s="903"/>
    </row>
    <row r="303" spans="1:15" ht="21" customHeight="1" x14ac:dyDescent="0.25">
      <c r="A303" s="316"/>
      <c r="B303" s="888" t="s">
        <v>117</v>
      </c>
      <c r="C303" s="235"/>
      <c r="D303" s="188"/>
      <c r="E303" s="294"/>
      <c r="F303" s="266"/>
      <c r="G303" s="285"/>
      <c r="H303" s="318"/>
      <c r="I303" s="206">
        <f>SUM(I301:I302)</f>
        <v>1800000</v>
      </c>
      <c r="J303" s="206">
        <f>SUM(J301:J302)</f>
        <v>1980306.9086162385</v>
      </c>
      <c r="K303" s="633"/>
      <c r="L303" s="207"/>
      <c r="M303" s="908"/>
      <c r="N303" s="899"/>
      <c r="O303" s="269"/>
    </row>
    <row r="304" spans="1:15" ht="21" customHeight="1" x14ac:dyDescent="0.25">
      <c r="A304" s="316"/>
      <c r="B304" s="223" t="s">
        <v>451</v>
      </c>
      <c r="C304" s="316"/>
      <c r="D304" s="224"/>
      <c r="E304" s="224"/>
      <c r="F304" s="224"/>
      <c r="G304" s="224"/>
      <c r="H304" s="224"/>
      <c r="I304" s="197"/>
      <c r="J304" s="197"/>
      <c r="K304" s="633"/>
      <c r="L304" s="210"/>
      <c r="M304" s="215"/>
      <c r="N304" s="899"/>
      <c r="O304" s="215"/>
    </row>
    <row r="305" spans="1:15" ht="21" customHeight="1" x14ac:dyDescent="0.25">
      <c r="A305" s="877">
        <v>12020434</v>
      </c>
      <c r="B305" s="265" t="s">
        <v>452</v>
      </c>
      <c r="C305" s="234" t="s">
        <v>91</v>
      </c>
      <c r="D305" s="188" t="s">
        <v>92</v>
      </c>
      <c r="E305" s="294" t="s">
        <v>453</v>
      </c>
      <c r="F305" s="295" t="s">
        <v>261</v>
      </c>
      <c r="G305" s="285">
        <v>70133</v>
      </c>
      <c r="H305" s="318" t="s">
        <v>109</v>
      </c>
      <c r="I305" s="200">
        <v>1714000</v>
      </c>
      <c r="J305" s="201">
        <v>1697123.0206841163</v>
      </c>
      <c r="K305" s="633"/>
      <c r="L305" s="202"/>
      <c r="M305" s="935"/>
      <c r="N305" s="899"/>
      <c r="O305" s="935"/>
    </row>
    <row r="306" spans="1:15" ht="21" customHeight="1" x14ac:dyDescent="0.25">
      <c r="A306" s="316"/>
      <c r="B306" s="223" t="s">
        <v>454</v>
      </c>
      <c r="C306" s="223" t="s">
        <v>454</v>
      </c>
      <c r="D306" s="224"/>
      <c r="E306" s="224"/>
      <c r="F306" s="224"/>
      <c r="G306" s="224"/>
      <c r="H306" s="224"/>
      <c r="I306" s="197"/>
      <c r="J306" s="197"/>
      <c r="K306" s="633"/>
      <c r="L306" s="210"/>
      <c r="M306" s="215"/>
      <c r="N306" s="899"/>
      <c r="O306" s="215"/>
    </row>
    <row r="307" spans="1:15" ht="21" customHeight="1" x14ac:dyDescent="0.25">
      <c r="A307" s="878" t="s">
        <v>2148</v>
      </c>
      <c r="B307" s="265" t="s">
        <v>455</v>
      </c>
      <c r="C307" s="234" t="s">
        <v>91</v>
      </c>
      <c r="D307" s="188" t="s">
        <v>92</v>
      </c>
      <c r="E307" s="294" t="s">
        <v>456</v>
      </c>
      <c r="F307" s="295" t="s">
        <v>457</v>
      </c>
      <c r="G307" s="285">
        <v>70330</v>
      </c>
      <c r="H307" s="318" t="s">
        <v>109</v>
      </c>
      <c r="I307" s="200">
        <v>379236592</v>
      </c>
      <c r="J307" s="201">
        <v>419561.01248375454</v>
      </c>
      <c r="K307" s="633"/>
      <c r="L307" s="202"/>
      <c r="M307" s="901"/>
      <c r="N307" s="899"/>
      <c r="O307" s="901"/>
    </row>
    <row r="308" spans="1:15" ht="21" customHeight="1" x14ac:dyDescent="0.25">
      <c r="A308" s="316"/>
      <c r="B308" s="223" t="s">
        <v>458</v>
      </c>
      <c r="C308" s="316"/>
      <c r="D308" s="224"/>
      <c r="E308" s="224"/>
      <c r="F308" s="224"/>
      <c r="G308" s="224"/>
      <c r="H308" s="224"/>
      <c r="I308" s="197"/>
      <c r="J308" s="197"/>
      <c r="K308" s="633"/>
      <c r="L308" s="210"/>
      <c r="M308" s="215"/>
      <c r="N308" s="899"/>
      <c r="O308" s="215"/>
    </row>
    <row r="309" spans="1:15" ht="21" customHeight="1" x14ac:dyDescent="0.25">
      <c r="A309" s="878" t="s">
        <v>2149</v>
      </c>
      <c r="B309" s="265" t="s">
        <v>459</v>
      </c>
      <c r="C309" s="234" t="s">
        <v>91</v>
      </c>
      <c r="D309" s="188" t="s">
        <v>92</v>
      </c>
      <c r="E309" s="294" t="s">
        <v>460</v>
      </c>
      <c r="F309" s="295" t="s">
        <v>461</v>
      </c>
      <c r="G309" s="285">
        <v>70454</v>
      </c>
      <c r="H309" s="318" t="s">
        <v>109</v>
      </c>
      <c r="I309" s="200">
        <v>7955520</v>
      </c>
      <c r="J309" s="201">
        <v>5922369.1117134532</v>
      </c>
      <c r="K309" s="633"/>
      <c r="L309" s="202"/>
      <c r="M309" s="903"/>
      <c r="N309" s="899"/>
      <c r="O309" s="901"/>
    </row>
    <row r="310" spans="1:15" ht="21" customHeight="1" x14ac:dyDescent="0.25">
      <c r="A310" s="878" t="s">
        <v>2115</v>
      </c>
      <c r="B310" s="296" t="s">
        <v>462</v>
      </c>
      <c r="C310" s="234" t="s">
        <v>91</v>
      </c>
      <c r="D310" s="188" t="s">
        <v>92</v>
      </c>
      <c r="E310" s="294" t="s">
        <v>460</v>
      </c>
      <c r="F310" s="295" t="s">
        <v>289</v>
      </c>
      <c r="G310" s="285">
        <v>70454</v>
      </c>
      <c r="H310" s="318" t="s">
        <v>109</v>
      </c>
      <c r="I310" s="200">
        <v>6004000</v>
      </c>
      <c r="J310" s="201">
        <v>17767107.345041893</v>
      </c>
      <c r="K310" s="633"/>
      <c r="L310" s="202"/>
      <c r="M310" s="903"/>
      <c r="N310" s="899"/>
      <c r="O310" s="901"/>
    </row>
    <row r="311" spans="1:15" ht="21" customHeight="1" x14ac:dyDescent="0.25">
      <c r="A311" s="878" t="s">
        <v>2124</v>
      </c>
      <c r="B311" s="296" t="s">
        <v>463</v>
      </c>
      <c r="C311" s="234" t="s">
        <v>91</v>
      </c>
      <c r="D311" s="188" t="s">
        <v>92</v>
      </c>
      <c r="E311" s="294" t="s">
        <v>460</v>
      </c>
      <c r="F311" s="295" t="s">
        <v>293</v>
      </c>
      <c r="G311" s="285">
        <v>70454</v>
      </c>
      <c r="H311" s="318" t="s">
        <v>109</v>
      </c>
      <c r="I311" s="319">
        <v>5000</v>
      </c>
      <c r="J311" s="200"/>
      <c r="K311" s="633"/>
      <c r="L311" s="222"/>
      <c r="M311" s="311"/>
      <c r="N311" s="899"/>
      <c r="O311" s="903"/>
    </row>
    <row r="312" spans="1:15" ht="21" customHeight="1" x14ac:dyDescent="0.25">
      <c r="A312" s="316"/>
      <c r="B312" s="888" t="s">
        <v>117</v>
      </c>
      <c r="C312" s="235"/>
      <c r="D312" s="188"/>
      <c r="E312" s="294"/>
      <c r="F312" s="295"/>
      <c r="G312" s="285"/>
      <c r="H312" s="318"/>
      <c r="I312" s="680">
        <f>SUM(I309:I311)</f>
        <v>13964520</v>
      </c>
      <c r="J312" s="680">
        <f>SUM(J309:J311)</f>
        <v>23689476.456755348</v>
      </c>
      <c r="K312" s="633"/>
      <c r="L312" s="297"/>
      <c r="M312" s="311"/>
      <c r="N312" s="899"/>
      <c r="O312" s="930"/>
    </row>
    <row r="313" spans="1:15" ht="21" customHeight="1" x14ac:dyDescent="0.25">
      <c r="A313" s="316"/>
      <c r="B313" s="674" t="s">
        <v>464</v>
      </c>
      <c r="C313" s="316"/>
      <c r="D313" s="188"/>
      <c r="E313" s="316"/>
      <c r="F313" s="295"/>
      <c r="G313" s="285"/>
      <c r="H313" s="318"/>
      <c r="I313" s="319"/>
      <c r="J313" s="200"/>
      <c r="K313" s="633"/>
      <c r="L313" s="222"/>
      <c r="M313" s="311"/>
      <c r="N313" s="899"/>
      <c r="O313" s="930"/>
    </row>
    <row r="314" spans="1:15" ht="21" customHeight="1" x14ac:dyDescent="0.25">
      <c r="A314" s="316"/>
      <c r="B314" s="296" t="s">
        <v>465</v>
      </c>
      <c r="C314" s="235"/>
      <c r="D314" s="188"/>
      <c r="E314" s="294"/>
      <c r="F314" s="295"/>
      <c r="G314" s="285"/>
      <c r="H314" s="318" t="s">
        <v>109</v>
      </c>
      <c r="I314" s="319"/>
      <c r="J314" s="201">
        <v>4950767.2715405961</v>
      </c>
      <c r="K314" s="633"/>
      <c r="L314" s="202"/>
      <c r="M314" s="311"/>
      <c r="N314" s="899"/>
      <c r="O314" s="901"/>
    </row>
    <row r="315" spans="1:15" ht="21" customHeight="1" x14ac:dyDescent="0.25">
      <c r="A315" s="316"/>
      <c r="B315" s="296" t="s">
        <v>466</v>
      </c>
      <c r="C315" s="235"/>
      <c r="D315" s="188"/>
      <c r="E315" s="294"/>
      <c r="F315" s="295"/>
      <c r="G315" s="285"/>
      <c r="H315" s="318" t="s">
        <v>109</v>
      </c>
      <c r="I315" s="319"/>
      <c r="J315" s="201">
        <v>4950767.2715405961</v>
      </c>
      <c r="K315" s="633"/>
      <c r="L315" s="202"/>
      <c r="M315" s="311"/>
      <c r="N315" s="899"/>
      <c r="O315" s="901"/>
    </row>
    <row r="316" spans="1:15" ht="21" customHeight="1" x14ac:dyDescent="0.25">
      <c r="A316" s="878" t="s">
        <v>2162</v>
      </c>
      <c r="B316" s="296" t="s">
        <v>467</v>
      </c>
      <c r="C316" s="235"/>
      <c r="D316" s="188"/>
      <c r="E316" s="294"/>
      <c r="F316" s="295"/>
      <c r="G316" s="285"/>
      <c r="H316" s="318" t="s">
        <v>109</v>
      </c>
      <c r="I316" s="319"/>
      <c r="J316" s="201">
        <v>99015.345430811925</v>
      </c>
      <c r="K316" s="633"/>
      <c r="L316" s="202"/>
      <c r="M316" s="311"/>
      <c r="N316" s="899"/>
      <c r="O316" s="901"/>
    </row>
    <row r="317" spans="1:15" ht="21" customHeight="1" x14ac:dyDescent="0.25">
      <c r="A317" s="316"/>
      <c r="B317" s="888" t="s">
        <v>117</v>
      </c>
      <c r="C317" s="235"/>
      <c r="D317" s="188"/>
      <c r="E317" s="294"/>
      <c r="F317" s="295"/>
      <c r="G317" s="285"/>
      <c r="H317" s="318"/>
      <c r="I317" s="286">
        <f>SUM(I314:I316)</f>
        <v>0</v>
      </c>
      <c r="J317" s="212">
        <f>SUM(J314:J316)</f>
        <v>10000549.888512004</v>
      </c>
      <c r="K317" s="633"/>
      <c r="L317" s="213"/>
      <c r="M317" s="311"/>
      <c r="N317" s="899"/>
      <c r="O317" s="930"/>
    </row>
    <row r="318" spans="1:15" ht="21" customHeight="1" x14ac:dyDescent="0.25">
      <c r="A318" s="681"/>
      <c r="B318" s="298" t="s">
        <v>468</v>
      </c>
      <c r="C318" s="235"/>
      <c r="D318" s="224"/>
      <c r="E318" s="649"/>
      <c r="F318" s="299"/>
      <c r="G318" s="675"/>
      <c r="H318" s="676"/>
      <c r="I318" s="206"/>
      <c r="J318" s="206">
        <f>SUM(J148,J157,J162,J171,J185,J187,J192,J197,J202,J206,J212,J221,J228,J230,J239,J241,J248,J251,J256,J262,J264,J270,J279,J286,J291,J298,J303,J305,J307,J312,J317)</f>
        <v>1550593241.9427674</v>
      </c>
      <c r="K318" s="633"/>
      <c r="L318" s="300"/>
      <c r="M318" s="311"/>
      <c r="N318" s="899"/>
      <c r="O318" s="930"/>
    </row>
    <row r="319" spans="1:15" ht="42" customHeight="1" x14ac:dyDescent="0.25">
      <c r="A319" s="650"/>
      <c r="B319" s="651">
        <v>19</v>
      </c>
      <c r="C319" s="650"/>
      <c r="D319" s="650"/>
      <c r="E319" s="650"/>
      <c r="F319" s="650"/>
      <c r="G319" s="650"/>
      <c r="H319" s="650"/>
      <c r="I319" s="682"/>
      <c r="J319" s="682"/>
      <c r="K319" s="633"/>
      <c r="L319" s="301"/>
      <c r="M319" s="311"/>
      <c r="N319" s="899"/>
      <c r="O319" s="903"/>
    </row>
    <row r="320" spans="1:15" ht="20.100000000000001" customHeight="1" x14ac:dyDescent="0.25">
      <c r="A320" s="316"/>
      <c r="B320" s="307" t="s">
        <v>469</v>
      </c>
      <c r="C320" s="224"/>
      <c r="D320" s="224"/>
      <c r="E320" s="224"/>
      <c r="F320" s="224"/>
      <c r="G320" s="224"/>
      <c r="H320" s="224"/>
      <c r="I320" s="197"/>
      <c r="J320" s="197"/>
      <c r="K320" s="633"/>
      <c r="L320" s="210"/>
      <c r="M320" s="913"/>
      <c r="N320" s="899"/>
      <c r="O320" s="913"/>
    </row>
    <row r="321" spans="1:15" ht="20.100000000000001" customHeight="1" x14ac:dyDescent="0.25">
      <c r="A321" s="316"/>
      <c r="B321" s="223" t="s">
        <v>228</v>
      </c>
      <c r="C321" s="316"/>
      <c r="D321" s="224"/>
      <c r="E321" s="224"/>
      <c r="F321" s="224"/>
      <c r="G321" s="224"/>
      <c r="H321" s="224"/>
      <c r="I321" s="197"/>
      <c r="J321" s="197"/>
      <c r="K321" s="633"/>
      <c r="L321" s="210"/>
      <c r="M321" s="215"/>
      <c r="N321" s="899"/>
      <c r="O321" s="215"/>
    </row>
    <row r="322" spans="1:15" ht="20.100000000000001" customHeight="1" x14ac:dyDescent="0.25">
      <c r="A322" s="878" t="s">
        <v>2150</v>
      </c>
      <c r="B322" s="198" t="s">
        <v>470</v>
      </c>
      <c r="C322" s="199" t="s">
        <v>91</v>
      </c>
      <c r="D322" s="184" t="s">
        <v>92</v>
      </c>
      <c r="E322" s="294" t="s">
        <v>230</v>
      </c>
      <c r="F322" s="188" t="s">
        <v>471</v>
      </c>
      <c r="G322" s="285">
        <v>70451</v>
      </c>
      <c r="H322" s="318" t="s">
        <v>109</v>
      </c>
      <c r="I322" s="302">
        <v>100000000</v>
      </c>
      <c r="J322" s="259">
        <v>10475823.546579901</v>
      </c>
      <c r="K322" s="633"/>
      <c r="L322" s="260"/>
      <c r="M322" s="908"/>
      <c r="N322" s="899"/>
      <c r="O322" s="936"/>
    </row>
    <row r="323" spans="1:15" ht="20.100000000000001" customHeight="1" x14ac:dyDescent="0.25">
      <c r="A323" s="316"/>
      <c r="B323" s="223" t="s">
        <v>203</v>
      </c>
      <c r="C323" s="223" t="s">
        <v>203</v>
      </c>
      <c r="D323" s="224"/>
      <c r="E323" s="224"/>
      <c r="F323" s="224"/>
      <c r="G323" s="224"/>
      <c r="H323" s="224"/>
      <c r="I323" s="197"/>
      <c r="J323" s="197"/>
      <c r="K323" s="633"/>
      <c r="L323" s="210"/>
      <c r="M323" s="215"/>
      <c r="N323" s="899"/>
      <c r="O323" s="215"/>
    </row>
    <row r="324" spans="1:15" ht="20.100000000000001" customHeight="1" x14ac:dyDescent="0.25">
      <c r="A324" s="878" t="s">
        <v>2151</v>
      </c>
      <c r="B324" s="198" t="s">
        <v>472</v>
      </c>
      <c r="C324" s="199" t="s">
        <v>91</v>
      </c>
      <c r="D324" s="184" t="s">
        <v>92</v>
      </c>
      <c r="E324" s="294" t="s">
        <v>205</v>
      </c>
      <c r="F324" s="188" t="s">
        <v>473</v>
      </c>
      <c r="G324" s="285">
        <v>70540</v>
      </c>
      <c r="H324" s="318" t="s">
        <v>109</v>
      </c>
      <c r="I324" s="200">
        <v>7729000</v>
      </c>
      <c r="J324" s="201">
        <v>7652896.0483474536</v>
      </c>
      <c r="K324" s="633"/>
      <c r="L324" s="931"/>
      <c r="M324" s="919"/>
      <c r="N324" s="899"/>
      <c r="O324" s="900"/>
    </row>
    <row r="325" spans="1:15" ht="20.100000000000001" customHeight="1" x14ac:dyDescent="0.25">
      <c r="A325" s="316"/>
      <c r="B325" s="223" t="s">
        <v>342</v>
      </c>
      <c r="C325" s="223"/>
      <c r="D325" s="224"/>
      <c r="E325" s="224"/>
      <c r="F325" s="224"/>
      <c r="G325" s="224"/>
      <c r="H325" s="224"/>
      <c r="I325" s="197"/>
      <c r="J325" s="197"/>
      <c r="K325" s="633"/>
      <c r="L325" s="210"/>
      <c r="M325" s="215"/>
      <c r="N325" s="899"/>
      <c r="O325" s="215"/>
    </row>
    <row r="326" spans="1:15" ht="20.100000000000001" customHeight="1" x14ac:dyDescent="0.25">
      <c r="A326" s="878" t="s">
        <v>2152</v>
      </c>
      <c r="B326" s="211" t="s">
        <v>474</v>
      </c>
      <c r="C326" s="230" t="s">
        <v>91</v>
      </c>
      <c r="D326" s="184" t="s">
        <v>92</v>
      </c>
      <c r="E326" s="294" t="s">
        <v>344</v>
      </c>
      <c r="F326" s="184" t="s">
        <v>475</v>
      </c>
      <c r="G326" s="285">
        <v>70330</v>
      </c>
      <c r="H326" s="318" t="s">
        <v>109</v>
      </c>
      <c r="I326" s="319">
        <v>333500</v>
      </c>
      <c r="J326" s="659"/>
      <c r="K326" s="633"/>
      <c r="L326" s="229"/>
      <c r="M326" s="937"/>
      <c r="N326" s="899"/>
      <c r="O326" s="905"/>
    </row>
    <row r="327" spans="1:15" ht="20.100000000000001" customHeight="1" x14ac:dyDescent="0.25">
      <c r="A327" s="316"/>
      <c r="B327" s="223" t="s">
        <v>476</v>
      </c>
      <c r="C327" s="316"/>
      <c r="D327" s="224"/>
      <c r="E327" s="224"/>
      <c r="F327" s="224"/>
      <c r="G327" s="224"/>
      <c r="H327" s="224"/>
      <c r="I327" s="197"/>
      <c r="J327" s="197"/>
      <c r="K327" s="633"/>
      <c r="L327" s="210"/>
      <c r="M327" s="215"/>
      <c r="N327" s="899"/>
      <c r="O327" s="215"/>
    </row>
    <row r="328" spans="1:15" ht="20.100000000000001" customHeight="1" x14ac:dyDescent="0.25">
      <c r="A328" s="878" t="s">
        <v>2153</v>
      </c>
      <c r="B328" s="211" t="s">
        <v>477</v>
      </c>
      <c r="C328" s="230" t="s">
        <v>91</v>
      </c>
      <c r="D328" s="184" t="s">
        <v>92</v>
      </c>
      <c r="E328" s="294" t="s">
        <v>107</v>
      </c>
      <c r="F328" s="184" t="s">
        <v>478</v>
      </c>
      <c r="G328" s="294">
        <v>70112</v>
      </c>
      <c r="H328" s="318" t="s">
        <v>109</v>
      </c>
      <c r="I328" s="319">
        <v>693761</v>
      </c>
      <c r="J328" s="683">
        <v>0</v>
      </c>
      <c r="K328" s="633"/>
      <c r="L328" s="303"/>
      <c r="M328" s="910"/>
      <c r="N328" s="899"/>
      <c r="O328" s="910"/>
    </row>
    <row r="329" spans="1:15" ht="20.100000000000001" customHeight="1" x14ac:dyDescent="0.25">
      <c r="A329" s="316"/>
      <c r="B329" s="223" t="s">
        <v>347</v>
      </c>
      <c r="C329" s="316"/>
      <c r="D329" s="224"/>
      <c r="E329" s="224"/>
      <c r="F329" s="224"/>
      <c r="G329" s="224"/>
      <c r="H329" s="224"/>
      <c r="I329" s="197"/>
      <c r="J329" s="197"/>
      <c r="K329" s="633"/>
      <c r="L329" s="210"/>
      <c r="M329" s="215"/>
      <c r="N329" s="899"/>
      <c r="O329" s="215"/>
    </row>
    <row r="330" spans="1:15" ht="20.100000000000001" customHeight="1" x14ac:dyDescent="0.25">
      <c r="A330" s="878" t="s">
        <v>2152</v>
      </c>
      <c r="B330" s="211" t="s">
        <v>479</v>
      </c>
      <c r="C330" s="234" t="s">
        <v>91</v>
      </c>
      <c r="D330" s="188" t="s">
        <v>92</v>
      </c>
      <c r="E330" s="294" t="s">
        <v>349</v>
      </c>
      <c r="F330" s="288" t="s">
        <v>475</v>
      </c>
      <c r="G330" s="285">
        <v>70330</v>
      </c>
      <c r="H330" s="318" t="s">
        <v>109</v>
      </c>
      <c r="I330" s="319">
        <v>200000</v>
      </c>
      <c r="J330" s="201">
        <v>98706151.884994462</v>
      </c>
      <c r="K330" s="633"/>
      <c r="L330" s="202"/>
      <c r="M330" s="901"/>
      <c r="N330" s="899"/>
      <c r="O330" s="901"/>
    </row>
    <row r="331" spans="1:15" ht="20.100000000000001" customHeight="1" x14ac:dyDescent="0.25">
      <c r="A331" s="878" t="s">
        <v>2152</v>
      </c>
      <c r="B331" s="211" t="s">
        <v>480</v>
      </c>
      <c r="C331" s="225"/>
      <c r="D331" s="225"/>
      <c r="E331" s="225"/>
      <c r="F331" s="225"/>
      <c r="G331" s="225"/>
      <c r="H331" s="225"/>
      <c r="I331" s="226"/>
      <c r="J331" s="201">
        <v>690943.07128451497</v>
      </c>
      <c r="K331" s="633"/>
      <c r="L331" s="202"/>
      <c r="M331" s="938"/>
      <c r="N331" s="899"/>
      <c r="O331" s="938"/>
    </row>
    <row r="332" spans="1:15" ht="20.100000000000001" customHeight="1" x14ac:dyDescent="0.25">
      <c r="A332" s="316"/>
      <c r="B332" s="888" t="s">
        <v>117</v>
      </c>
      <c r="C332" s="224"/>
      <c r="D332" s="224"/>
      <c r="E332" s="224"/>
      <c r="F332" s="224"/>
      <c r="G332" s="224"/>
      <c r="H332" s="224"/>
      <c r="I332" s="197">
        <f>SUM(I330:I331)</f>
        <v>200000</v>
      </c>
      <c r="J332" s="197">
        <f>SUM(J330:J331)</f>
        <v>99397094.95627898</v>
      </c>
      <c r="K332" s="633"/>
      <c r="L332" s="210"/>
      <c r="M332" s="913"/>
      <c r="N332" s="899"/>
      <c r="O332" s="913"/>
    </row>
    <row r="333" spans="1:15" ht="20.100000000000001" customHeight="1" x14ac:dyDescent="0.25">
      <c r="A333" s="316"/>
      <c r="B333" s="888" t="s">
        <v>481</v>
      </c>
      <c r="C333" s="224"/>
      <c r="D333" s="224"/>
      <c r="E333" s="224"/>
      <c r="F333" s="224"/>
      <c r="G333" s="224"/>
      <c r="H333" s="224"/>
      <c r="I333" s="197">
        <f>SUM(I322,I324,I326,I328,I332)</f>
        <v>108956261</v>
      </c>
      <c r="J333" s="197">
        <f>SUM(J322,J324,J326,J328,J332)</f>
        <v>117525814.55120634</v>
      </c>
      <c r="K333" s="633"/>
      <c r="L333" s="304"/>
      <c r="M333" s="913"/>
      <c r="N333" s="899"/>
      <c r="O333" s="913"/>
    </row>
    <row r="334" spans="1:15" ht="20.100000000000001" customHeight="1" x14ac:dyDescent="0.25">
      <c r="A334" s="316"/>
      <c r="B334" s="888" t="s">
        <v>482</v>
      </c>
      <c r="C334" s="224"/>
      <c r="D334" s="224"/>
      <c r="E334" s="224"/>
      <c r="F334" s="224"/>
      <c r="G334" s="224"/>
      <c r="H334" s="224"/>
      <c r="I334" s="197"/>
      <c r="J334" s="197"/>
      <c r="K334" s="633"/>
      <c r="L334" s="210"/>
      <c r="M334" s="913"/>
      <c r="N334" s="899"/>
      <c r="O334" s="913"/>
    </row>
    <row r="335" spans="1:15" ht="20.100000000000001" customHeight="1" x14ac:dyDescent="0.25">
      <c r="A335" s="316"/>
      <c r="B335" s="223" t="s">
        <v>483</v>
      </c>
      <c r="C335" s="316"/>
      <c r="D335" s="224"/>
      <c r="E335" s="224"/>
      <c r="F335" s="224"/>
      <c r="G335" s="224"/>
      <c r="H335" s="224"/>
      <c r="I335" s="197"/>
      <c r="J335" s="197"/>
      <c r="K335" s="633"/>
      <c r="L335" s="210"/>
      <c r="M335" s="215"/>
      <c r="N335" s="899"/>
      <c r="O335" s="215"/>
    </row>
    <row r="336" spans="1:15" ht="20.100000000000001" customHeight="1" x14ac:dyDescent="0.25">
      <c r="A336" s="877">
        <v>12020605</v>
      </c>
      <c r="B336" s="198" t="s">
        <v>484</v>
      </c>
      <c r="C336" s="199" t="s">
        <v>91</v>
      </c>
      <c r="D336" s="184" t="s">
        <v>92</v>
      </c>
      <c r="E336" s="294" t="s">
        <v>444</v>
      </c>
      <c r="F336" s="188" t="s">
        <v>485</v>
      </c>
      <c r="G336" s="285">
        <v>70131</v>
      </c>
      <c r="H336" s="318" t="s">
        <v>109</v>
      </c>
      <c r="I336" s="200">
        <v>200000</v>
      </c>
      <c r="J336" s="201">
        <v>197412.29052173573</v>
      </c>
      <c r="K336" s="633"/>
      <c r="L336" s="202"/>
      <c r="M336" s="901"/>
      <c r="N336" s="899"/>
      <c r="O336" s="901"/>
    </row>
    <row r="337" spans="1:15" ht="20.100000000000001" customHeight="1" x14ac:dyDescent="0.25">
      <c r="A337" s="316"/>
      <c r="B337" s="223" t="s">
        <v>486</v>
      </c>
      <c r="C337" s="316"/>
      <c r="D337" s="224"/>
      <c r="E337" s="224"/>
      <c r="F337" s="224"/>
      <c r="G337" s="224"/>
      <c r="H337" s="224"/>
      <c r="I337" s="197"/>
      <c r="J337" s="197"/>
      <c r="K337" s="633"/>
      <c r="L337" s="210"/>
      <c r="M337" s="215"/>
      <c r="N337" s="899"/>
      <c r="O337" s="215"/>
    </row>
    <row r="338" spans="1:15" ht="20.100000000000001" customHeight="1" x14ac:dyDescent="0.25">
      <c r="A338" s="878" t="s">
        <v>2155</v>
      </c>
      <c r="B338" s="198" t="s">
        <v>487</v>
      </c>
      <c r="C338" s="199" t="s">
        <v>91</v>
      </c>
      <c r="D338" s="184" t="s">
        <v>92</v>
      </c>
      <c r="E338" s="294" t="s">
        <v>160</v>
      </c>
      <c r="F338" s="184" t="s">
        <v>488</v>
      </c>
      <c r="G338" s="285">
        <v>70421</v>
      </c>
      <c r="H338" s="318" t="s">
        <v>109</v>
      </c>
      <c r="I338" s="200">
        <v>413100</v>
      </c>
      <c r="J338" s="200"/>
      <c r="K338" s="633"/>
      <c r="L338" s="222"/>
      <c r="M338" s="901"/>
      <c r="N338" s="899"/>
      <c r="O338" s="901"/>
    </row>
    <row r="339" spans="1:15" ht="20.100000000000001" customHeight="1" x14ac:dyDescent="0.25">
      <c r="A339" s="878" t="s">
        <v>2154</v>
      </c>
      <c r="B339" s="198" t="s">
        <v>489</v>
      </c>
      <c r="C339" s="199" t="s">
        <v>91</v>
      </c>
      <c r="D339" s="184" t="s">
        <v>92</v>
      </c>
      <c r="E339" s="294" t="s">
        <v>160</v>
      </c>
      <c r="F339" s="184" t="s">
        <v>488</v>
      </c>
      <c r="G339" s="285">
        <v>70421</v>
      </c>
      <c r="H339" s="318" t="s">
        <v>109</v>
      </c>
      <c r="I339" s="200">
        <v>1000000</v>
      </c>
      <c r="J339" s="201">
        <v>4950767.2715405961</v>
      </c>
      <c r="K339" s="633"/>
      <c r="L339" s="202"/>
      <c r="M339" s="903"/>
      <c r="N339" s="899"/>
      <c r="O339" s="901"/>
    </row>
    <row r="340" spans="1:15" ht="20.100000000000001" customHeight="1" x14ac:dyDescent="0.25">
      <c r="A340" s="878" t="s">
        <v>2154</v>
      </c>
      <c r="B340" s="198" t="s">
        <v>490</v>
      </c>
      <c r="C340" s="199" t="s">
        <v>91</v>
      </c>
      <c r="D340" s="184" t="s">
        <v>92</v>
      </c>
      <c r="E340" s="294" t="s">
        <v>160</v>
      </c>
      <c r="F340" s="184" t="s">
        <v>491</v>
      </c>
      <c r="G340" s="285">
        <v>70421</v>
      </c>
      <c r="H340" s="318" t="s">
        <v>109</v>
      </c>
      <c r="I340" s="200">
        <v>18760000</v>
      </c>
      <c r="J340" s="200"/>
      <c r="K340" s="633"/>
      <c r="L340" s="222"/>
      <c r="M340" s="311"/>
      <c r="N340" s="899"/>
      <c r="O340" s="903"/>
    </row>
    <row r="341" spans="1:15" ht="20.100000000000001" customHeight="1" x14ac:dyDescent="0.25">
      <c r="A341" s="878" t="s">
        <v>2154</v>
      </c>
      <c r="B341" s="198" t="s">
        <v>492</v>
      </c>
      <c r="C341" s="199" t="s">
        <v>91</v>
      </c>
      <c r="D341" s="184" t="s">
        <v>92</v>
      </c>
      <c r="E341" s="294" t="s">
        <v>160</v>
      </c>
      <c r="F341" s="184" t="s">
        <v>488</v>
      </c>
      <c r="G341" s="285">
        <v>70421</v>
      </c>
      <c r="H341" s="318" t="s">
        <v>109</v>
      </c>
      <c r="I341" s="200">
        <v>200000</v>
      </c>
      <c r="J341" s="200"/>
      <c r="K341" s="633"/>
      <c r="L341" s="222"/>
      <c r="M341" s="311"/>
      <c r="N341" s="899"/>
      <c r="O341" s="903"/>
    </row>
    <row r="342" spans="1:15" ht="20.100000000000001" customHeight="1" x14ac:dyDescent="0.25">
      <c r="A342" s="878" t="s">
        <v>2154</v>
      </c>
      <c r="B342" s="198" t="s">
        <v>492</v>
      </c>
      <c r="C342" s="199" t="s">
        <v>91</v>
      </c>
      <c r="D342" s="184" t="s">
        <v>92</v>
      </c>
      <c r="E342" s="294" t="s">
        <v>160</v>
      </c>
      <c r="F342" s="184" t="s">
        <v>488</v>
      </c>
      <c r="G342" s="285">
        <v>70421</v>
      </c>
      <c r="H342" s="318" t="s">
        <v>109</v>
      </c>
      <c r="I342" s="200">
        <v>43725000</v>
      </c>
      <c r="J342" s="200"/>
      <c r="K342" s="633"/>
      <c r="L342" s="222"/>
      <c r="M342" s="311"/>
      <c r="N342" s="899"/>
      <c r="O342" s="903"/>
    </row>
    <row r="343" spans="1:15" ht="20.100000000000001" customHeight="1" x14ac:dyDescent="0.25">
      <c r="A343" s="878" t="s">
        <v>2154</v>
      </c>
      <c r="B343" s="198" t="s">
        <v>490</v>
      </c>
      <c r="C343" s="199" t="s">
        <v>91</v>
      </c>
      <c r="D343" s="184" t="s">
        <v>92</v>
      </c>
      <c r="E343" s="294" t="s">
        <v>160</v>
      </c>
      <c r="F343" s="184" t="s">
        <v>491</v>
      </c>
      <c r="G343" s="285">
        <v>70421</v>
      </c>
      <c r="H343" s="318" t="s">
        <v>109</v>
      </c>
      <c r="I343" s="200">
        <v>18760000</v>
      </c>
      <c r="J343" s="200"/>
      <c r="K343" s="633"/>
      <c r="L343" s="222"/>
      <c r="M343" s="311"/>
      <c r="N343" s="899"/>
      <c r="O343" s="903"/>
    </row>
    <row r="344" spans="1:15" ht="20.100000000000001" customHeight="1" x14ac:dyDescent="0.25">
      <c r="A344" s="878" t="s">
        <v>2154</v>
      </c>
      <c r="B344" s="198" t="s">
        <v>492</v>
      </c>
      <c r="C344" s="199" t="s">
        <v>91</v>
      </c>
      <c r="D344" s="184" t="s">
        <v>92</v>
      </c>
      <c r="E344" s="294" t="s">
        <v>160</v>
      </c>
      <c r="F344" s="184" t="s">
        <v>488</v>
      </c>
      <c r="G344" s="285">
        <v>70421</v>
      </c>
      <c r="H344" s="318" t="s">
        <v>109</v>
      </c>
      <c r="I344" s="200">
        <v>200000</v>
      </c>
      <c r="J344" s="200"/>
      <c r="K344" s="633"/>
      <c r="L344" s="222"/>
      <c r="M344" s="311"/>
      <c r="N344" s="899"/>
      <c r="O344" s="903"/>
    </row>
    <row r="345" spans="1:15" ht="20.100000000000001" customHeight="1" x14ac:dyDescent="0.25">
      <c r="A345" s="878" t="s">
        <v>2154</v>
      </c>
      <c r="B345" s="198" t="s">
        <v>492</v>
      </c>
      <c r="C345" s="199" t="s">
        <v>91</v>
      </c>
      <c r="D345" s="184" t="s">
        <v>92</v>
      </c>
      <c r="E345" s="294" t="s">
        <v>160</v>
      </c>
      <c r="F345" s="184" t="s">
        <v>488</v>
      </c>
      <c r="G345" s="285">
        <v>70421</v>
      </c>
      <c r="H345" s="318" t="s">
        <v>109</v>
      </c>
      <c r="I345" s="200">
        <v>43725000</v>
      </c>
      <c r="J345" s="200"/>
      <c r="K345" s="633"/>
      <c r="L345" s="222"/>
      <c r="M345" s="311"/>
      <c r="N345" s="899"/>
      <c r="O345" s="903"/>
    </row>
    <row r="346" spans="1:15" ht="20.100000000000001" customHeight="1" x14ac:dyDescent="0.25">
      <c r="A346" s="316"/>
      <c r="B346" s="888" t="s">
        <v>117</v>
      </c>
      <c r="C346" s="230"/>
      <c r="D346" s="184"/>
      <c r="E346" s="294"/>
      <c r="F346" s="184"/>
      <c r="G346" s="285"/>
      <c r="H346" s="318"/>
      <c r="I346" s="206">
        <f>SUM(I338:I345)</f>
        <v>126783100</v>
      </c>
      <c r="J346" s="212">
        <f>SUM(J338:J345)</f>
        <v>4950767.2715405961</v>
      </c>
      <c r="K346" s="633"/>
      <c r="L346" s="213"/>
      <c r="M346" s="311"/>
      <c r="N346" s="899"/>
      <c r="O346" s="269"/>
    </row>
    <row r="347" spans="1:15" ht="42" customHeight="1" x14ac:dyDescent="0.25">
      <c r="A347" s="650"/>
      <c r="B347" s="651">
        <v>20</v>
      </c>
      <c r="C347" s="255"/>
      <c r="D347" s="220"/>
      <c r="E347" s="655"/>
      <c r="F347" s="220"/>
      <c r="G347" s="661"/>
      <c r="H347" s="656"/>
      <c r="I347" s="222"/>
      <c r="J347" s="213"/>
      <c r="K347" s="633"/>
      <c r="L347" s="213"/>
      <c r="M347" s="311"/>
      <c r="N347" s="899"/>
      <c r="O347" s="269"/>
    </row>
    <row r="348" spans="1:15" ht="21" customHeight="1" x14ac:dyDescent="0.25">
      <c r="A348" s="316"/>
      <c r="B348" s="223" t="s">
        <v>476</v>
      </c>
      <c r="C348" s="316"/>
      <c r="D348" s="224"/>
      <c r="E348" s="224"/>
      <c r="F348" s="224"/>
      <c r="G348" s="224"/>
      <c r="H348" s="224"/>
      <c r="I348" s="197"/>
      <c r="J348" s="197"/>
      <c r="K348" s="633"/>
      <c r="L348" s="210"/>
      <c r="M348" s="215"/>
      <c r="N348" s="899"/>
      <c r="O348" s="215"/>
    </row>
    <row r="349" spans="1:15" ht="21" customHeight="1" x14ac:dyDescent="0.25">
      <c r="A349" s="878" t="s">
        <v>2156</v>
      </c>
      <c r="B349" s="198" t="s">
        <v>493</v>
      </c>
      <c r="C349" s="199" t="s">
        <v>91</v>
      </c>
      <c r="D349" s="184" t="s">
        <v>92</v>
      </c>
      <c r="E349" s="294" t="s">
        <v>107</v>
      </c>
      <c r="F349" s="188" t="s">
        <v>485</v>
      </c>
      <c r="G349" s="285">
        <v>70112</v>
      </c>
      <c r="H349" s="318" t="s">
        <v>109</v>
      </c>
      <c r="I349" s="200">
        <v>14422254</v>
      </c>
      <c r="J349" s="201">
        <v>14589497.690852221</v>
      </c>
      <c r="K349" s="633"/>
      <c r="L349" s="202"/>
      <c r="M349" s="903"/>
      <c r="N349" s="899"/>
      <c r="O349" s="903"/>
    </row>
    <row r="350" spans="1:15" ht="21" customHeight="1" x14ac:dyDescent="0.25">
      <c r="A350" s="316"/>
      <c r="B350" s="223" t="s">
        <v>241</v>
      </c>
      <c r="C350" s="316"/>
      <c r="D350" s="224"/>
      <c r="E350" s="224"/>
      <c r="F350" s="224"/>
      <c r="G350" s="224"/>
      <c r="H350" s="224"/>
      <c r="I350" s="197"/>
      <c r="J350" s="197"/>
      <c r="K350" s="633"/>
      <c r="L350" s="210"/>
      <c r="M350" s="215"/>
      <c r="N350" s="899"/>
      <c r="O350" s="215"/>
    </row>
    <row r="351" spans="1:15" ht="21" customHeight="1" x14ac:dyDescent="0.25">
      <c r="A351" s="878" t="s">
        <v>2156</v>
      </c>
      <c r="B351" s="198" t="s">
        <v>494</v>
      </c>
      <c r="C351" s="234" t="s">
        <v>91</v>
      </c>
      <c r="D351" s="188" t="s">
        <v>92</v>
      </c>
      <c r="E351" s="294" t="s">
        <v>243</v>
      </c>
      <c r="F351" s="188" t="s">
        <v>485</v>
      </c>
      <c r="G351" s="285">
        <v>70860</v>
      </c>
      <c r="H351" s="318" t="s">
        <v>109</v>
      </c>
      <c r="I351" s="200">
        <v>900200</v>
      </c>
      <c r="J351" s="201">
        <v>641589.98132639565</v>
      </c>
      <c r="K351" s="633"/>
      <c r="L351" s="202"/>
      <c r="M351" s="903"/>
      <c r="N351" s="899"/>
      <c r="O351" s="903"/>
    </row>
    <row r="352" spans="1:15" ht="21" customHeight="1" x14ac:dyDescent="0.25">
      <c r="A352" s="316"/>
      <c r="B352" s="223" t="s">
        <v>165</v>
      </c>
      <c r="C352" s="316"/>
      <c r="D352" s="224"/>
      <c r="E352" s="224"/>
      <c r="F352" s="224"/>
      <c r="G352" s="224"/>
      <c r="H352" s="224"/>
      <c r="I352" s="197"/>
      <c r="J352" s="197"/>
      <c r="K352" s="633"/>
      <c r="L352" s="210"/>
      <c r="M352" s="215"/>
      <c r="N352" s="899"/>
      <c r="O352" s="215"/>
    </row>
    <row r="353" spans="1:15" ht="21" customHeight="1" x14ac:dyDescent="0.25">
      <c r="A353" s="878" t="s">
        <v>2157</v>
      </c>
      <c r="B353" s="211" t="s">
        <v>495</v>
      </c>
      <c r="C353" s="234" t="s">
        <v>91</v>
      </c>
      <c r="D353" s="188" t="s">
        <v>92</v>
      </c>
      <c r="E353" s="294" t="s">
        <v>167</v>
      </c>
      <c r="F353" s="184" t="s">
        <v>496</v>
      </c>
      <c r="G353" s="285">
        <v>70740</v>
      </c>
      <c r="H353" s="318" t="s">
        <v>109</v>
      </c>
      <c r="I353" s="200">
        <v>20000000</v>
      </c>
      <c r="J353" s="200"/>
      <c r="K353" s="633"/>
      <c r="L353" s="222"/>
      <c r="M353" s="902"/>
      <c r="N353" s="899"/>
      <c r="O353" s="903"/>
    </row>
    <row r="354" spans="1:15" ht="21" customHeight="1" x14ac:dyDescent="0.25">
      <c r="A354" s="316"/>
      <c r="B354" s="223" t="s">
        <v>497</v>
      </c>
      <c r="C354" s="316"/>
      <c r="D354" s="224"/>
      <c r="E354" s="224"/>
      <c r="F354" s="224"/>
      <c r="G354" s="224"/>
      <c r="H354" s="224"/>
      <c r="I354" s="197"/>
      <c r="J354" s="197"/>
      <c r="K354" s="633"/>
      <c r="L354" s="210"/>
      <c r="M354" s="215"/>
      <c r="N354" s="899"/>
      <c r="O354" s="215"/>
    </row>
    <row r="355" spans="1:15" ht="21" customHeight="1" x14ac:dyDescent="0.25">
      <c r="A355" s="878" t="s">
        <v>2156</v>
      </c>
      <c r="B355" s="198" t="s">
        <v>498</v>
      </c>
      <c r="C355" s="199" t="s">
        <v>91</v>
      </c>
      <c r="D355" s="184" t="s">
        <v>92</v>
      </c>
      <c r="E355" s="294" t="s">
        <v>499</v>
      </c>
      <c r="F355" s="188" t="s">
        <v>485</v>
      </c>
      <c r="G355" s="294" t="s">
        <v>432</v>
      </c>
      <c r="H355" s="318" t="s">
        <v>500</v>
      </c>
      <c r="I355" s="200">
        <v>30000</v>
      </c>
      <c r="J355" s="200"/>
      <c r="K355" s="633"/>
      <c r="L355" s="222"/>
      <c r="M355" s="311"/>
      <c r="N355" s="899"/>
      <c r="O355" s="903"/>
    </row>
    <row r="356" spans="1:15" ht="21" customHeight="1" x14ac:dyDescent="0.25">
      <c r="A356" s="316"/>
      <c r="B356" s="223" t="s">
        <v>501</v>
      </c>
      <c r="C356" s="316"/>
      <c r="D356" s="224"/>
      <c r="E356" s="224"/>
      <c r="F356" s="224"/>
      <c r="G356" s="224"/>
      <c r="H356" s="224"/>
      <c r="I356" s="197"/>
      <c r="J356" s="197"/>
      <c r="K356" s="633"/>
      <c r="L356" s="210"/>
      <c r="M356" s="215"/>
      <c r="N356" s="899"/>
      <c r="O356" s="215"/>
    </row>
    <row r="357" spans="1:15" ht="21" customHeight="1" x14ac:dyDescent="0.25">
      <c r="A357" s="878" t="s">
        <v>2158</v>
      </c>
      <c r="B357" s="198" t="s">
        <v>502</v>
      </c>
      <c r="C357" s="199" t="s">
        <v>91</v>
      </c>
      <c r="D357" s="184" t="s">
        <v>92</v>
      </c>
      <c r="E357" s="294" t="s">
        <v>199</v>
      </c>
      <c r="F357" s="188" t="s">
        <v>503</v>
      </c>
      <c r="G357" s="285">
        <v>70411</v>
      </c>
      <c r="H357" s="318" t="s">
        <v>500</v>
      </c>
      <c r="I357" s="319">
        <v>130000</v>
      </c>
      <c r="J357" s="200"/>
      <c r="K357" s="633"/>
      <c r="L357" s="222"/>
      <c r="M357" s="311"/>
      <c r="N357" s="899"/>
      <c r="O357" s="901"/>
    </row>
    <row r="358" spans="1:15" ht="21" customHeight="1" x14ac:dyDescent="0.25">
      <c r="A358" s="316"/>
      <c r="B358" s="223" t="s">
        <v>458</v>
      </c>
      <c r="C358" s="316"/>
      <c r="D358" s="224"/>
      <c r="E358" s="224"/>
      <c r="F358" s="224"/>
      <c r="G358" s="224"/>
      <c r="H358" s="224"/>
      <c r="I358" s="197"/>
      <c r="J358" s="197"/>
      <c r="K358" s="633"/>
      <c r="L358" s="210"/>
      <c r="M358" s="215"/>
      <c r="N358" s="899"/>
      <c r="O358" s="215"/>
    </row>
    <row r="359" spans="1:15" ht="21" customHeight="1" x14ac:dyDescent="0.25">
      <c r="A359" s="878" t="s">
        <v>2159</v>
      </c>
      <c r="B359" s="265" t="s">
        <v>504</v>
      </c>
      <c r="C359" s="234" t="s">
        <v>91</v>
      </c>
      <c r="D359" s="188" t="s">
        <v>92</v>
      </c>
      <c r="E359" s="294" t="s">
        <v>460</v>
      </c>
      <c r="F359" s="295" t="s">
        <v>505</v>
      </c>
      <c r="G359" s="285">
        <v>70454</v>
      </c>
      <c r="H359" s="318" t="s">
        <v>109</v>
      </c>
      <c r="I359" s="319">
        <v>2300000</v>
      </c>
      <c r="J359" s="200"/>
      <c r="K359" s="633"/>
      <c r="L359" s="222"/>
      <c r="M359" s="903"/>
      <c r="N359" s="899"/>
      <c r="O359" s="903"/>
    </row>
    <row r="360" spans="1:15" ht="21" customHeight="1" x14ac:dyDescent="0.25">
      <c r="A360" s="316"/>
      <c r="B360" s="223" t="s">
        <v>342</v>
      </c>
      <c r="C360" s="316"/>
      <c r="D360" s="224"/>
      <c r="E360" s="224"/>
      <c r="F360" s="224"/>
      <c r="G360" s="224"/>
      <c r="H360" s="224"/>
      <c r="I360" s="197"/>
      <c r="J360" s="197"/>
      <c r="K360" s="633"/>
      <c r="L360" s="210"/>
      <c r="M360" s="215"/>
      <c r="N360" s="899"/>
      <c r="O360" s="215"/>
    </row>
    <row r="361" spans="1:15" ht="21" customHeight="1" x14ac:dyDescent="0.25">
      <c r="A361" s="878" t="s">
        <v>2160</v>
      </c>
      <c r="B361" s="265" t="s">
        <v>506</v>
      </c>
      <c r="C361" s="199" t="s">
        <v>91</v>
      </c>
      <c r="D361" s="184" t="s">
        <v>92</v>
      </c>
      <c r="E361" s="294" t="s">
        <v>344</v>
      </c>
      <c r="F361" s="295" t="s">
        <v>507</v>
      </c>
      <c r="G361" s="285">
        <v>70330</v>
      </c>
      <c r="H361" s="318" t="s">
        <v>500</v>
      </c>
      <c r="I361" s="200">
        <v>12000000</v>
      </c>
      <c r="J361" s="201">
        <v>9870615.1795880646</v>
      </c>
      <c r="K361" s="633"/>
      <c r="L361" s="202"/>
      <c r="M361" s="903"/>
      <c r="N361" s="899"/>
      <c r="O361" s="903"/>
    </row>
    <row r="362" spans="1:15" ht="21" customHeight="1" x14ac:dyDescent="0.25">
      <c r="A362" s="316"/>
      <c r="B362" s="674" t="s">
        <v>508</v>
      </c>
      <c r="C362" s="316"/>
      <c r="D362" s="279"/>
      <c r="E362" s="317"/>
      <c r="F362" s="299"/>
      <c r="G362" s="675"/>
      <c r="H362" s="676"/>
      <c r="I362" s="206"/>
      <c r="J362" s="206"/>
      <c r="K362" s="633"/>
      <c r="L362" s="207"/>
      <c r="M362" s="939"/>
      <c r="N362" s="899"/>
      <c r="O362" s="930"/>
    </row>
    <row r="363" spans="1:15" ht="21" customHeight="1" x14ac:dyDescent="0.25">
      <c r="A363" s="878" t="s">
        <v>2161</v>
      </c>
      <c r="B363" s="265" t="s">
        <v>509</v>
      </c>
      <c r="C363" s="230"/>
      <c r="D363" s="279"/>
      <c r="E363" s="649"/>
      <c r="F363" s="299"/>
      <c r="G363" s="675"/>
      <c r="H363" s="676"/>
      <c r="I363" s="206"/>
      <c r="J363" s="201">
        <v>1362144.8986645546</v>
      </c>
      <c r="K363" s="633"/>
      <c r="L363" s="202"/>
      <c r="M363" s="903"/>
      <c r="N363" s="899"/>
      <c r="O363" s="901"/>
    </row>
    <row r="364" spans="1:15" ht="21" customHeight="1" x14ac:dyDescent="0.25">
      <c r="A364" s="316"/>
      <c r="B364" s="888" t="s">
        <v>510</v>
      </c>
      <c r="C364" s="224"/>
      <c r="D364" s="224"/>
      <c r="E364" s="224"/>
      <c r="F364" s="224"/>
      <c r="G364" s="224"/>
      <c r="H364" s="224"/>
      <c r="I364" s="197"/>
      <c r="J364" s="197">
        <f>SUM(J336,J346,J349,J351,J353,J355,J357,J359,J361,J363)</f>
        <v>31612027.31249357</v>
      </c>
      <c r="K364" s="633"/>
      <c r="L364" s="304"/>
      <c r="M364" s="311"/>
      <c r="N364" s="899"/>
      <c r="O364" s="903"/>
    </row>
    <row r="365" spans="1:15" ht="21" customHeight="1" x14ac:dyDescent="0.25">
      <c r="A365" s="316"/>
      <c r="B365" s="888" t="s">
        <v>511</v>
      </c>
      <c r="C365" s="224"/>
      <c r="D365" s="224"/>
      <c r="E365" s="224"/>
      <c r="F365" s="224"/>
      <c r="G365" s="224"/>
      <c r="H365" s="224"/>
      <c r="I365" s="197"/>
      <c r="J365" s="197"/>
      <c r="K365" s="633"/>
      <c r="L365" s="210"/>
      <c r="M365" s="215"/>
      <c r="N365" s="899"/>
      <c r="O365" s="215"/>
    </row>
    <row r="366" spans="1:15" ht="21" customHeight="1" x14ac:dyDescent="0.25">
      <c r="A366" s="316"/>
      <c r="B366" s="223" t="s">
        <v>512</v>
      </c>
      <c r="C366" s="316"/>
      <c r="D366" s="224"/>
      <c r="E366" s="224"/>
      <c r="F366" s="224"/>
      <c r="G366" s="224"/>
      <c r="H366" s="224"/>
      <c r="I366" s="197"/>
      <c r="J366" s="197"/>
      <c r="K366" s="633"/>
      <c r="L366" s="210"/>
      <c r="M366" s="215"/>
      <c r="N366" s="899"/>
      <c r="O366" s="908"/>
    </row>
    <row r="367" spans="1:15" ht="21" customHeight="1" x14ac:dyDescent="0.25">
      <c r="A367" s="878" t="s">
        <v>2163</v>
      </c>
      <c r="B367" s="198" t="s">
        <v>513</v>
      </c>
      <c r="C367" s="199" t="s">
        <v>91</v>
      </c>
      <c r="D367" s="184" t="s">
        <v>92</v>
      </c>
      <c r="E367" s="294" t="s">
        <v>205</v>
      </c>
      <c r="F367" s="184" t="s">
        <v>514</v>
      </c>
      <c r="G367" s="285">
        <v>70540</v>
      </c>
      <c r="H367" s="318" t="s">
        <v>109</v>
      </c>
      <c r="I367" s="200">
        <v>2439366</v>
      </c>
      <c r="J367" s="200"/>
      <c r="K367" s="633"/>
      <c r="L367" s="222"/>
      <c r="M367" s="908"/>
      <c r="N367" s="899"/>
      <c r="O367" s="903"/>
    </row>
    <row r="368" spans="1:15" ht="42" customHeight="1" x14ac:dyDescent="0.25">
      <c r="A368" s="650"/>
      <c r="B368" s="651">
        <v>21</v>
      </c>
      <c r="C368" s="219"/>
      <c r="D368" s="220"/>
      <c r="E368" s="655"/>
      <c r="F368" s="220"/>
      <c r="G368" s="661"/>
      <c r="H368" s="656"/>
      <c r="I368" s="222"/>
      <c r="J368" s="222"/>
      <c r="K368" s="633"/>
      <c r="L368" s="222"/>
      <c r="M368" s="908"/>
      <c r="N368" s="899"/>
      <c r="O368" s="903"/>
    </row>
    <row r="369" spans="1:15" ht="20.100000000000001" customHeight="1" x14ac:dyDescent="0.25">
      <c r="A369" s="316"/>
      <c r="B369" s="223" t="s">
        <v>486</v>
      </c>
      <c r="C369" s="316"/>
      <c r="D369" s="224"/>
      <c r="E369" s="224"/>
      <c r="F369" s="224"/>
      <c r="G369" s="224"/>
      <c r="H369" s="224"/>
      <c r="I369" s="197"/>
      <c r="J369" s="197"/>
      <c r="K369" s="633"/>
      <c r="L369" s="210"/>
      <c r="M369" s="215"/>
      <c r="N369" s="899"/>
      <c r="O369" s="215"/>
    </row>
    <row r="370" spans="1:15" ht="20.100000000000001" customHeight="1" x14ac:dyDescent="0.25">
      <c r="A370" s="878" t="s">
        <v>2164</v>
      </c>
      <c r="B370" s="198" t="s">
        <v>515</v>
      </c>
      <c r="C370" s="199" t="s">
        <v>91</v>
      </c>
      <c r="D370" s="184" t="s">
        <v>92</v>
      </c>
      <c r="E370" s="294" t="s">
        <v>160</v>
      </c>
      <c r="F370" s="184" t="s">
        <v>516</v>
      </c>
      <c r="G370" s="285">
        <v>70421</v>
      </c>
      <c r="H370" s="318" t="s">
        <v>517</v>
      </c>
      <c r="I370" s="200">
        <v>25500000</v>
      </c>
      <c r="J370" s="201">
        <v>1871529.640279403</v>
      </c>
      <c r="K370" s="633"/>
      <c r="L370" s="202"/>
      <c r="M370" s="901"/>
      <c r="N370" s="899"/>
      <c r="O370" s="901"/>
    </row>
    <row r="371" spans="1:15" ht="20.100000000000001" customHeight="1" x14ac:dyDescent="0.25">
      <c r="A371" s="878" t="s">
        <v>2163</v>
      </c>
      <c r="B371" s="198" t="s">
        <v>518</v>
      </c>
      <c r="C371" s="199"/>
      <c r="D371" s="184" t="s">
        <v>383</v>
      </c>
      <c r="E371" s="294"/>
      <c r="F371" s="184"/>
      <c r="G371" s="285"/>
      <c r="H371" s="318" t="s">
        <v>109</v>
      </c>
      <c r="I371" s="200"/>
      <c r="J371" s="201">
        <v>176247314.86684522</v>
      </c>
      <c r="K371" s="633"/>
      <c r="L371" s="202"/>
      <c r="M371" s="908"/>
      <c r="N371" s="899"/>
      <c r="O371" s="901"/>
    </row>
    <row r="372" spans="1:15" ht="20.100000000000001" customHeight="1" x14ac:dyDescent="0.25">
      <c r="A372" s="878" t="s">
        <v>2163</v>
      </c>
      <c r="B372" s="198" t="s">
        <v>519</v>
      </c>
      <c r="C372" s="199"/>
      <c r="D372" s="184" t="s">
        <v>387</v>
      </c>
      <c r="E372" s="294"/>
      <c r="F372" s="184"/>
      <c r="G372" s="285"/>
      <c r="H372" s="318" t="s">
        <v>109</v>
      </c>
      <c r="I372" s="200"/>
      <c r="J372" s="201">
        <v>59409207.25848715</v>
      </c>
      <c r="K372" s="633"/>
      <c r="L372" s="202"/>
      <c r="M372" s="908"/>
      <c r="N372" s="899"/>
      <c r="O372" s="901"/>
    </row>
    <row r="373" spans="1:15" ht="20.100000000000001" customHeight="1" x14ac:dyDescent="0.25">
      <c r="A373" s="878" t="s">
        <v>2163</v>
      </c>
      <c r="B373" s="198" t="s">
        <v>520</v>
      </c>
      <c r="C373" s="199"/>
      <c r="D373" s="184" t="s">
        <v>390</v>
      </c>
      <c r="E373" s="294"/>
      <c r="F373" s="184"/>
      <c r="G373" s="285"/>
      <c r="H373" s="318" t="s">
        <v>109</v>
      </c>
      <c r="I373" s="200"/>
      <c r="J373" s="201">
        <v>19803069.086162385</v>
      </c>
      <c r="K373" s="633"/>
      <c r="L373" s="202"/>
      <c r="M373" s="908"/>
      <c r="N373" s="899"/>
      <c r="O373" s="901"/>
    </row>
    <row r="374" spans="1:15" ht="20.100000000000001" customHeight="1" x14ac:dyDescent="0.25">
      <c r="A374" s="878" t="s">
        <v>2165</v>
      </c>
      <c r="B374" s="198" t="s">
        <v>521</v>
      </c>
      <c r="C374" s="234" t="s">
        <v>91</v>
      </c>
      <c r="D374" s="188" t="s">
        <v>92</v>
      </c>
      <c r="E374" s="294" t="s">
        <v>160</v>
      </c>
      <c r="F374" s="184" t="s">
        <v>522</v>
      </c>
      <c r="G374" s="285">
        <v>70421</v>
      </c>
      <c r="H374" s="318" t="s">
        <v>109</v>
      </c>
      <c r="I374" s="200">
        <v>1800000</v>
      </c>
      <c r="J374" s="201">
        <v>1782276.2177546148</v>
      </c>
      <c r="K374" s="633"/>
      <c r="L374" s="202"/>
      <c r="M374" s="901"/>
      <c r="N374" s="899"/>
      <c r="O374" s="901"/>
    </row>
    <row r="375" spans="1:15" ht="20.100000000000001" customHeight="1" x14ac:dyDescent="0.25">
      <c r="A375" s="681"/>
      <c r="B375" s="888" t="s">
        <v>117</v>
      </c>
      <c r="C375" s="235"/>
      <c r="D375" s="224"/>
      <c r="E375" s="649"/>
      <c r="F375" s="279"/>
      <c r="G375" s="675"/>
      <c r="H375" s="676"/>
      <c r="I375" s="206">
        <f>SUM(I370:I374)</f>
        <v>27300000</v>
      </c>
      <c r="J375" s="212">
        <f>SUM(J370:J374)</f>
        <v>259113397.06952876</v>
      </c>
      <c r="K375" s="633"/>
      <c r="L375" s="213"/>
      <c r="M375" s="908"/>
      <c r="N375" s="899"/>
      <c r="O375" s="269"/>
    </row>
    <row r="376" spans="1:15" ht="20.100000000000001" customHeight="1" x14ac:dyDescent="0.25">
      <c r="A376" s="316"/>
      <c r="B376" s="223" t="s">
        <v>523</v>
      </c>
      <c r="C376" s="316"/>
      <c r="D376" s="224"/>
      <c r="E376" s="317"/>
      <c r="F376" s="224"/>
      <c r="G376" s="224"/>
      <c r="H376" s="224"/>
      <c r="I376" s="197"/>
      <c r="J376" s="197"/>
      <c r="K376" s="633"/>
      <c r="L376" s="210"/>
      <c r="M376" s="215"/>
      <c r="N376" s="899"/>
      <c r="O376" s="215"/>
    </row>
    <row r="377" spans="1:15" ht="20.100000000000001" customHeight="1" x14ac:dyDescent="0.25">
      <c r="A377" s="878" t="s">
        <v>2156</v>
      </c>
      <c r="B377" s="276" t="s">
        <v>524</v>
      </c>
      <c r="C377" s="224"/>
      <c r="D377" s="224"/>
      <c r="E377" s="224"/>
      <c r="F377" s="224"/>
      <c r="G377" s="224"/>
      <c r="H377" s="224"/>
      <c r="I377" s="197"/>
      <c r="J377" s="274">
        <v>148059.23026821998</v>
      </c>
      <c r="K377" s="633"/>
      <c r="L377" s="275"/>
      <c r="M377" s="914"/>
      <c r="N377" s="899"/>
      <c r="O377" s="914"/>
    </row>
    <row r="378" spans="1:15" ht="20.100000000000001" customHeight="1" x14ac:dyDescent="0.25">
      <c r="A378" s="878" t="s">
        <v>2159</v>
      </c>
      <c r="B378" s="276" t="s">
        <v>525</v>
      </c>
      <c r="C378" s="224"/>
      <c r="D378" s="224"/>
      <c r="E378" s="224"/>
      <c r="F378" s="224"/>
      <c r="G378" s="224"/>
      <c r="H378" s="224"/>
      <c r="I378" s="197"/>
      <c r="J378" s="274">
        <v>24676537.968773235</v>
      </c>
      <c r="K378" s="633"/>
      <c r="L378" s="275"/>
      <c r="M378" s="215"/>
      <c r="N378" s="899"/>
      <c r="O378" s="215"/>
    </row>
    <row r="379" spans="1:15" ht="20.100000000000001" customHeight="1" x14ac:dyDescent="0.25">
      <c r="A379" s="878" t="s">
        <v>2159</v>
      </c>
      <c r="B379" s="276" t="s">
        <v>526</v>
      </c>
      <c r="C379" s="224"/>
      <c r="D379" s="224"/>
      <c r="E379" s="224"/>
      <c r="F379" s="224"/>
      <c r="G379" s="224"/>
      <c r="H379" s="224"/>
      <c r="I379" s="197"/>
      <c r="J379" s="274">
        <v>31585968.612307642</v>
      </c>
      <c r="K379" s="633"/>
      <c r="L379" s="275"/>
      <c r="M379" s="215"/>
      <c r="N379" s="899"/>
      <c r="O379" s="215"/>
    </row>
    <row r="380" spans="1:15" ht="20.100000000000001" customHeight="1" x14ac:dyDescent="0.25">
      <c r="A380" s="316"/>
      <c r="B380" s="888" t="s">
        <v>117</v>
      </c>
      <c r="C380" s="224"/>
      <c r="D380" s="224"/>
      <c r="E380" s="224"/>
      <c r="F380" s="224"/>
      <c r="G380" s="224"/>
      <c r="H380" s="224"/>
      <c r="I380" s="305">
        <f>SUM(I377:I379)</f>
        <v>0</v>
      </c>
      <c r="J380" s="277">
        <f>SUM(J377:J379)</f>
        <v>56410565.811349094</v>
      </c>
      <c r="K380" s="633"/>
      <c r="L380" s="278"/>
      <c r="M380" s="215"/>
      <c r="N380" s="899"/>
      <c r="O380" s="215"/>
    </row>
    <row r="381" spans="1:15" ht="20.100000000000001" customHeight="1" x14ac:dyDescent="0.25">
      <c r="A381" s="316"/>
      <c r="B381" s="223" t="s">
        <v>442</v>
      </c>
      <c r="C381" s="316"/>
      <c r="D381" s="224"/>
      <c r="E381" s="317"/>
      <c r="F381" s="224"/>
      <c r="G381" s="224"/>
      <c r="H381" s="224"/>
      <c r="I381" s="197"/>
      <c r="J381" s="197"/>
      <c r="K381" s="633"/>
      <c r="L381" s="210"/>
      <c r="M381" s="215"/>
      <c r="N381" s="899"/>
      <c r="O381" s="215"/>
    </row>
    <row r="382" spans="1:15" ht="20.100000000000001" customHeight="1" x14ac:dyDescent="0.25">
      <c r="A382" s="878" t="s">
        <v>2156</v>
      </c>
      <c r="B382" s="198" t="s">
        <v>527</v>
      </c>
      <c r="C382" s="235"/>
      <c r="D382" s="188"/>
      <c r="E382" s="294"/>
      <c r="F382" s="184"/>
      <c r="G382" s="285"/>
      <c r="H382" s="318"/>
      <c r="I382" s="200"/>
      <c r="J382" s="201">
        <v>197412.34002940843</v>
      </c>
      <c r="K382" s="633"/>
      <c r="L382" s="202"/>
      <c r="M382" s="901"/>
      <c r="N382" s="899"/>
      <c r="O382" s="901"/>
    </row>
    <row r="383" spans="1:15" ht="20.100000000000001" customHeight="1" x14ac:dyDescent="0.25">
      <c r="A383" s="316"/>
      <c r="B383" s="198"/>
      <c r="C383" s="235"/>
      <c r="D383" s="188"/>
      <c r="E383" s="294"/>
      <c r="F383" s="184"/>
      <c r="G383" s="285"/>
      <c r="H383" s="318"/>
      <c r="I383" s="200"/>
      <c r="J383" s="212"/>
      <c r="K383" s="633"/>
      <c r="L383" s="213"/>
      <c r="M383" s="908"/>
      <c r="N383" s="899"/>
      <c r="O383" s="269"/>
    </row>
    <row r="384" spans="1:15" ht="20.100000000000001" customHeight="1" x14ac:dyDescent="0.25">
      <c r="A384" s="316"/>
      <c r="B384" s="888" t="s">
        <v>117</v>
      </c>
      <c r="C384" s="225"/>
      <c r="D384" s="225"/>
      <c r="E384" s="225"/>
      <c r="F384" s="225"/>
      <c r="G384" s="225"/>
      <c r="H384" s="225"/>
      <c r="I384" s="226"/>
      <c r="J384" s="226"/>
      <c r="K384" s="633"/>
      <c r="L384" s="227"/>
      <c r="M384" s="938"/>
      <c r="N384" s="899"/>
      <c r="O384" s="938"/>
    </row>
    <row r="385" spans="1:15" ht="20.100000000000001" customHeight="1" x14ac:dyDescent="0.25">
      <c r="A385" s="316"/>
      <c r="B385" s="223" t="s">
        <v>476</v>
      </c>
      <c r="C385" s="316"/>
      <c r="D385" s="224"/>
      <c r="E385" s="224"/>
      <c r="F385" s="224"/>
      <c r="G385" s="224"/>
      <c r="H385" s="224"/>
      <c r="I385" s="197"/>
      <c r="J385" s="197"/>
      <c r="K385" s="633"/>
      <c r="L385" s="210"/>
      <c r="M385" s="215"/>
      <c r="N385" s="899"/>
      <c r="O385" s="215"/>
    </row>
    <row r="386" spans="1:15" ht="20.100000000000001" customHeight="1" x14ac:dyDescent="0.25">
      <c r="A386" s="878" t="s">
        <v>2093</v>
      </c>
      <c r="B386" s="211" t="s">
        <v>528</v>
      </c>
      <c r="C386" s="199" t="s">
        <v>91</v>
      </c>
      <c r="D386" s="184" t="s">
        <v>92</v>
      </c>
      <c r="E386" s="294" t="s">
        <v>107</v>
      </c>
      <c r="F386" s="188" t="s">
        <v>529</v>
      </c>
      <c r="G386" s="285">
        <v>70112</v>
      </c>
      <c r="H386" s="318" t="s">
        <v>109</v>
      </c>
      <c r="I386" s="200">
        <v>135801775</v>
      </c>
      <c r="J386" s="201">
        <v>138366715.51529461</v>
      </c>
      <c r="K386" s="633"/>
      <c r="L386" s="202"/>
      <c r="M386" s="901"/>
      <c r="N386" s="899"/>
      <c r="O386" s="901"/>
    </row>
    <row r="387" spans="1:15" ht="20.100000000000001" customHeight="1" x14ac:dyDescent="0.25">
      <c r="A387" s="316"/>
      <c r="B387" s="888" t="s">
        <v>117</v>
      </c>
      <c r="C387" s="199"/>
      <c r="D387" s="279"/>
      <c r="E387" s="294"/>
      <c r="F387" s="188"/>
      <c r="G387" s="285"/>
      <c r="H387" s="318"/>
      <c r="I387" s="200"/>
      <c r="J387" s="212"/>
      <c r="K387" s="633"/>
      <c r="L387" s="213"/>
      <c r="M387" s="269"/>
      <c r="N387" s="899"/>
      <c r="O387" s="269"/>
    </row>
    <row r="388" spans="1:15" ht="20.100000000000001" customHeight="1" x14ac:dyDescent="0.25">
      <c r="A388" s="316"/>
      <c r="B388" s="223" t="s">
        <v>222</v>
      </c>
      <c r="C388" s="316"/>
      <c r="D388" s="224"/>
      <c r="E388" s="224"/>
      <c r="F388" s="224"/>
      <c r="G388" s="224"/>
      <c r="H388" s="224"/>
      <c r="I388" s="197"/>
      <c r="J388" s="197"/>
      <c r="K388" s="633"/>
      <c r="L388" s="210"/>
      <c r="M388" s="215"/>
      <c r="N388" s="899"/>
      <c r="O388" s="215"/>
    </row>
    <row r="389" spans="1:15" ht="20.100000000000001" customHeight="1" x14ac:dyDescent="0.25">
      <c r="A389" s="878" t="s">
        <v>2166</v>
      </c>
      <c r="B389" s="198" t="s">
        <v>530</v>
      </c>
      <c r="C389" s="199" t="s">
        <v>91</v>
      </c>
      <c r="D389" s="184" t="s">
        <v>92</v>
      </c>
      <c r="E389" s="294" t="s">
        <v>224</v>
      </c>
      <c r="F389" s="188" t="s">
        <v>531</v>
      </c>
      <c r="G389" s="285">
        <v>70411</v>
      </c>
      <c r="H389" s="318" t="s">
        <v>109</v>
      </c>
      <c r="I389" s="226">
        <v>51000000</v>
      </c>
      <c r="J389" s="201">
        <v>9901534.5430811923</v>
      </c>
      <c r="K389" s="633"/>
      <c r="L389" s="202"/>
      <c r="M389" s="940"/>
      <c r="N389" s="899"/>
      <c r="O389" s="901"/>
    </row>
    <row r="390" spans="1:15" ht="20.100000000000001" customHeight="1" x14ac:dyDescent="0.25">
      <c r="A390" s="316"/>
      <c r="B390" s="223" t="s">
        <v>241</v>
      </c>
      <c r="C390" s="316"/>
      <c r="D390" s="224"/>
      <c r="E390" s="224"/>
      <c r="F390" s="224"/>
      <c r="G390" s="224"/>
      <c r="H390" s="224"/>
      <c r="I390" s="197"/>
      <c r="J390" s="197"/>
      <c r="K390" s="633"/>
      <c r="L390" s="210"/>
      <c r="M390" s="215"/>
      <c r="N390" s="899"/>
      <c r="O390" s="215"/>
    </row>
    <row r="391" spans="1:15" ht="20.100000000000001" customHeight="1" x14ac:dyDescent="0.25">
      <c r="A391" s="878" t="s">
        <v>2167</v>
      </c>
      <c r="B391" s="198" t="s">
        <v>532</v>
      </c>
      <c r="C391" s="234" t="s">
        <v>91</v>
      </c>
      <c r="D391" s="188" t="s">
        <v>92</v>
      </c>
      <c r="E391" s="294" t="s">
        <v>243</v>
      </c>
      <c r="F391" s="188" t="s">
        <v>533</v>
      </c>
      <c r="G391" s="285">
        <v>70860</v>
      </c>
      <c r="H391" s="318" t="s">
        <v>109</v>
      </c>
      <c r="I391" s="200">
        <v>2900000</v>
      </c>
      <c r="J391" s="200"/>
      <c r="K391" s="633"/>
      <c r="L391" s="222"/>
      <c r="M391" s="908"/>
      <c r="N391" s="899"/>
      <c r="O391" s="901"/>
    </row>
    <row r="392" spans="1:15" ht="20.100000000000001" customHeight="1" x14ac:dyDescent="0.25">
      <c r="A392" s="878" t="s">
        <v>2167</v>
      </c>
      <c r="B392" s="198" t="s">
        <v>534</v>
      </c>
      <c r="C392" s="234" t="s">
        <v>91</v>
      </c>
      <c r="D392" s="188" t="s">
        <v>92</v>
      </c>
      <c r="E392" s="294" t="s">
        <v>243</v>
      </c>
      <c r="F392" s="188" t="s">
        <v>533</v>
      </c>
      <c r="G392" s="285">
        <v>70860</v>
      </c>
      <c r="H392" s="318" t="s">
        <v>109</v>
      </c>
      <c r="I392" s="200">
        <v>1000000</v>
      </c>
      <c r="J392" s="200"/>
      <c r="K392" s="633"/>
      <c r="L392" s="222"/>
      <c r="M392" s="908"/>
      <c r="N392" s="899"/>
      <c r="O392" s="901"/>
    </row>
    <row r="393" spans="1:15" ht="20.100000000000001" customHeight="1" x14ac:dyDescent="0.25">
      <c r="A393" s="878" t="s">
        <v>2167</v>
      </c>
      <c r="B393" s="198" t="s">
        <v>535</v>
      </c>
      <c r="C393" s="234" t="s">
        <v>91</v>
      </c>
      <c r="D393" s="188" t="s">
        <v>92</v>
      </c>
      <c r="E393" s="294" t="s">
        <v>243</v>
      </c>
      <c r="F393" s="188" t="s">
        <v>533</v>
      </c>
      <c r="G393" s="285">
        <v>70860</v>
      </c>
      <c r="H393" s="318" t="s">
        <v>109</v>
      </c>
      <c r="I393" s="200">
        <v>500000</v>
      </c>
      <c r="J393" s="200"/>
      <c r="K393" s="633"/>
      <c r="L393" s="222"/>
      <c r="M393" s="908"/>
      <c r="N393" s="899"/>
      <c r="O393" s="903"/>
    </row>
    <row r="394" spans="1:15" ht="20.100000000000001" customHeight="1" x14ac:dyDescent="0.25">
      <c r="A394" s="316"/>
      <c r="B394" s="888" t="s">
        <v>117</v>
      </c>
      <c r="C394" s="235"/>
      <c r="D394" s="188"/>
      <c r="E394" s="294"/>
      <c r="F394" s="188"/>
      <c r="G394" s="285"/>
      <c r="H394" s="318"/>
      <c r="I394" s="206">
        <f>SUM(I391:I393)</f>
        <v>4400000</v>
      </c>
      <c r="J394" s="204">
        <f>SUM(J391:J393)</f>
        <v>0</v>
      </c>
      <c r="K394" s="633"/>
      <c r="L394" s="205"/>
      <c r="M394" s="908"/>
      <c r="N394" s="899"/>
      <c r="O394" s="269"/>
    </row>
    <row r="395" spans="1:15" ht="42" customHeight="1" x14ac:dyDescent="0.25">
      <c r="A395" s="650"/>
      <c r="B395" s="651">
        <v>22</v>
      </c>
      <c r="C395" s="236"/>
      <c r="D395" s="221"/>
      <c r="E395" s="655"/>
      <c r="F395" s="221"/>
      <c r="G395" s="661"/>
      <c r="H395" s="656"/>
      <c r="I395" s="222"/>
      <c r="J395" s="222"/>
      <c r="K395" s="633"/>
      <c r="L395" s="222"/>
      <c r="M395" s="908"/>
      <c r="N395" s="899"/>
      <c r="O395" s="269"/>
    </row>
    <row r="396" spans="1:15" ht="21" customHeight="1" x14ac:dyDescent="0.25">
      <c r="A396" s="316"/>
      <c r="B396" s="223" t="s">
        <v>523</v>
      </c>
      <c r="C396" s="316"/>
      <c r="D396" s="224"/>
      <c r="E396" s="317"/>
      <c r="F396" s="224"/>
      <c r="G396" s="224"/>
      <c r="H396" s="224"/>
      <c r="I396" s="197"/>
      <c r="J396" s="197"/>
      <c r="K396" s="633"/>
      <c r="L396" s="210"/>
      <c r="M396" s="215"/>
      <c r="N396" s="899"/>
      <c r="O396" s="215"/>
    </row>
    <row r="397" spans="1:15" ht="21" customHeight="1" x14ac:dyDescent="0.25">
      <c r="A397" s="878" t="s">
        <v>2168</v>
      </c>
      <c r="B397" s="306" t="s">
        <v>536</v>
      </c>
      <c r="C397" s="234" t="s">
        <v>91</v>
      </c>
      <c r="D397" s="188" t="s">
        <v>92</v>
      </c>
      <c r="E397" s="294" t="s">
        <v>537</v>
      </c>
      <c r="F397" s="295" t="s">
        <v>538</v>
      </c>
      <c r="G397" s="285" t="s">
        <v>539</v>
      </c>
      <c r="H397" s="318" t="s">
        <v>109</v>
      </c>
      <c r="I397" s="319">
        <v>15000</v>
      </c>
      <c r="J397" s="200"/>
      <c r="K397" s="633"/>
      <c r="L397" s="222"/>
      <c r="M397" s="901"/>
      <c r="N397" s="899"/>
      <c r="O397" s="901"/>
    </row>
    <row r="398" spans="1:15" ht="21" customHeight="1" x14ac:dyDescent="0.25">
      <c r="A398" s="316"/>
      <c r="B398" s="223" t="s">
        <v>497</v>
      </c>
      <c r="C398" s="316"/>
      <c r="D398" s="316"/>
      <c r="E398" s="224"/>
      <c r="F398" s="224"/>
      <c r="G398" s="225"/>
      <c r="H398" s="225"/>
      <c r="I398" s="226"/>
      <c r="J398" s="226"/>
      <c r="K398" s="633"/>
      <c r="L398" s="227"/>
      <c r="M398" s="938"/>
      <c r="N398" s="899"/>
      <c r="O398" s="938"/>
    </row>
    <row r="399" spans="1:15" ht="21" customHeight="1" x14ac:dyDescent="0.25">
      <c r="A399" s="316"/>
      <c r="B399" s="211" t="s">
        <v>540</v>
      </c>
      <c r="C399" s="234" t="s">
        <v>91</v>
      </c>
      <c r="D399" s="188" t="s">
        <v>92</v>
      </c>
      <c r="E399" s="294" t="s">
        <v>499</v>
      </c>
      <c r="F399" s="188">
        <v>12020705</v>
      </c>
      <c r="G399" s="225"/>
      <c r="H399" s="225"/>
      <c r="I399" s="226"/>
      <c r="J399" s="204">
        <v>0</v>
      </c>
      <c r="K399" s="633"/>
      <c r="L399" s="205"/>
      <c r="M399" s="938"/>
      <c r="N399" s="899"/>
      <c r="O399" s="919"/>
    </row>
    <row r="400" spans="1:15" ht="21" customHeight="1" x14ac:dyDescent="0.25">
      <c r="A400" s="316"/>
      <c r="B400" s="228" t="s">
        <v>541</v>
      </c>
      <c r="C400" s="228"/>
      <c r="D400" s="224"/>
      <c r="E400" s="316"/>
      <c r="F400" s="224"/>
      <c r="G400" s="224"/>
      <c r="H400" s="224"/>
      <c r="I400" s="197"/>
      <c r="J400" s="197"/>
      <c r="K400" s="633"/>
      <c r="L400" s="210"/>
      <c r="M400" s="215"/>
      <c r="N400" s="899"/>
      <c r="O400" s="215"/>
    </row>
    <row r="401" spans="1:15" ht="21" customHeight="1" x14ac:dyDescent="0.25">
      <c r="A401" s="878" t="s">
        <v>2093</v>
      </c>
      <c r="B401" s="306" t="s">
        <v>542</v>
      </c>
      <c r="C401" s="234" t="s">
        <v>91</v>
      </c>
      <c r="D401" s="188" t="s">
        <v>92</v>
      </c>
      <c r="E401" s="294" t="s">
        <v>107</v>
      </c>
      <c r="F401" s="295" t="s">
        <v>529</v>
      </c>
      <c r="G401" s="285" t="s">
        <v>539</v>
      </c>
      <c r="H401" s="318" t="s">
        <v>109</v>
      </c>
      <c r="I401" s="319">
        <v>1875</v>
      </c>
      <c r="J401" s="201">
        <v>137376562.06098649</v>
      </c>
      <c r="K401" s="633"/>
      <c r="L401" s="202"/>
      <c r="M401" s="901"/>
      <c r="N401" s="899"/>
      <c r="O401" s="901"/>
    </row>
    <row r="402" spans="1:15" ht="21" customHeight="1" x14ac:dyDescent="0.25">
      <c r="A402" s="316"/>
      <c r="B402" s="228" t="s">
        <v>543</v>
      </c>
      <c r="C402" s="223" t="s">
        <v>543</v>
      </c>
      <c r="D402" s="188"/>
      <c r="E402" s="316"/>
      <c r="F402" s="295"/>
      <c r="G402" s="285"/>
      <c r="H402" s="318"/>
      <c r="I402" s="319"/>
      <c r="J402" s="200"/>
      <c r="K402" s="633"/>
      <c r="L402" s="222"/>
      <c r="M402" s="311"/>
      <c r="N402" s="899"/>
      <c r="O402" s="903"/>
    </row>
    <row r="403" spans="1:15" ht="21" customHeight="1" x14ac:dyDescent="0.25">
      <c r="A403" s="316"/>
      <c r="B403" s="306" t="s">
        <v>544</v>
      </c>
      <c r="C403" s="234"/>
      <c r="D403" s="188"/>
      <c r="E403" s="294"/>
      <c r="F403" s="295"/>
      <c r="G403" s="285"/>
      <c r="H403" s="318"/>
      <c r="I403" s="319"/>
      <c r="J403" s="200"/>
      <c r="K403" s="633"/>
      <c r="L403" s="222"/>
      <c r="M403" s="311"/>
      <c r="N403" s="899"/>
      <c r="O403" s="901"/>
    </row>
    <row r="404" spans="1:15" ht="21" customHeight="1" x14ac:dyDescent="0.25">
      <c r="A404" s="316"/>
      <c r="B404" s="228" t="s">
        <v>458</v>
      </c>
      <c r="C404" s="316"/>
      <c r="D404" s="224"/>
      <c r="E404" s="317"/>
      <c r="F404" s="224"/>
      <c r="G404" s="224"/>
      <c r="H404" s="224"/>
      <c r="I404" s="197"/>
      <c r="J404" s="197"/>
      <c r="K404" s="633"/>
      <c r="L404" s="210"/>
      <c r="M404" s="215"/>
      <c r="N404" s="899"/>
      <c r="O404" s="215"/>
    </row>
    <row r="405" spans="1:15" ht="21" customHeight="1" x14ac:dyDescent="0.25">
      <c r="A405" s="878" t="s">
        <v>2169</v>
      </c>
      <c r="B405" s="306" t="s">
        <v>545</v>
      </c>
      <c r="C405" s="234" t="s">
        <v>91</v>
      </c>
      <c r="D405" s="188" t="s">
        <v>92</v>
      </c>
      <c r="E405" s="294" t="s">
        <v>460</v>
      </c>
      <c r="F405" s="295" t="s">
        <v>546</v>
      </c>
      <c r="G405" s="285">
        <v>70454</v>
      </c>
      <c r="H405" s="318" t="s">
        <v>109</v>
      </c>
      <c r="I405" s="200">
        <v>286200</v>
      </c>
      <c r="J405" s="201">
        <v>3948246.0777761471</v>
      </c>
      <c r="K405" s="633"/>
      <c r="L405" s="202"/>
      <c r="M405" s="311"/>
      <c r="N405" s="899"/>
      <c r="O405" s="901"/>
    </row>
    <row r="406" spans="1:15" ht="21" customHeight="1" x14ac:dyDescent="0.25">
      <c r="A406" s="316"/>
      <c r="B406" s="228" t="s">
        <v>393</v>
      </c>
      <c r="C406" s="316"/>
      <c r="D406" s="317"/>
      <c r="E406" s="294"/>
      <c r="F406" s="295"/>
      <c r="G406" s="285"/>
      <c r="H406" s="318"/>
      <c r="I406" s="200"/>
      <c r="J406" s="200"/>
      <c r="K406" s="633"/>
      <c r="L406" s="222"/>
      <c r="M406" s="311"/>
      <c r="N406" s="899"/>
      <c r="O406" s="903"/>
    </row>
    <row r="407" spans="1:15" ht="21" customHeight="1" x14ac:dyDescent="0.25">
      <c r="A407" s="878" t="s">
        <v>2171</v>
      </c>
      <c r="B407" s="306" t="s">
        <v>547</v>
      </c>
      <c r="C407" s="234"/>
      <c r="D407" s="188"/>
      <c r="E407" s="294"/>
      <c r="F407" s="295"/>
      <c r="G407" s="285"/>
      <c r="H407" s="318"/>
      <c r="I407" s="200"/>
      <c r="J407" s="200"/>
      <c r="K407" s="633"/>
      <c r="L407" s="222"/>
      <c r="M407" s="311"/>
      <c r="N407" s="899"/>
      <c r="O407" s="901"/>
    </row>
    <row r="408" spans="1:15" ht="21" customHeight="1" x14ac:dyDescent="0.25">
      <c r="A408" s="316"/>
      <c r="B408" s="223" t="s">
        <v>548</v>
      </c>
      <c r="C408" s="316"/>
      <c r="D408" s="188"/>
      <c r="E408" s="316"/>
      <c r="F408" s="295"/>
      <c r="G408" s="285"/>
      <c r="H408" s="318"/>
      <c r="I408" s="200"/>
      <c r="J408" s="200"/>
      <c r="K408" s="633"/>
      <c r="L408" s="222"/>
      <c r="M408" s="311"/>
      <c r="N408" s="899"/>
      <c r="O408" s="903"/>
    </row>
    <row r="409" spans="1:15" ht="21" customHeight="1" x14ac:dyDescent="0.25">
      <c r="A409" s="316"/>
      <c r="B409" s="306" t="s">
        <v>549</v>
      </c>
      <c r="C409" s="225"/>
      <c r="D409" s="225"/>
      <c r="E409" s="225"/>
      <c r="F409" s="225"/>
      <c r="G409" s="225"/>
      <c r="H409" s="225"/>
      <c r="I409" s="226"/>
      <c r="J409" s="226"/>
      <c r="K409" s="633"/>
      <c r="L409" s="227"/>
      <c r="M409" s="938"/>
      <c r="N409" s="899"/>
      <c r="O409" s="919"/>
    </row>
    <row r="410" spans="1:15" ht="21" customHeight="1" x14ac:dyDescent="0.25">
      <c r="A410" s="316"/>
      <c r="B410" s="228" t="s">
        <v>215</v>
      </c>
      <c r="C410" s="316"/>
      <c r="D410" s="224"/>
      <c r="E410" s="316"/>
      <c r="F410" s="224"/>
      <c r="G410" s="224"/>
      <c r="H410" s="224"/>
      <c r="I410" s="197"/>
      <c r="J410" s="197"/>
      <c r="K410" s="633"/>
      <c r="L410" s="210"/>
      <c r="M410" s="215"/>
      <c r="N410" s="899"/>
      <c r="O410" s="215"/>
    </row>
    <row r="411" spans="1:15" ht="21" customHeight="1" x14ac:dyDescent="0.25">
      <c r="A411" s="878" t="s">
        <v>2170</v>
      </c>
      <c r="B411" s="198" t="s">
        <v>428</v>
      </c>
      <c r="C411" s="234" t="s">
        <v>91</v>
      </c>
      <c r="D411" s="188" t="s">
        <v>92</v>
      </c>
      <c r="E411" s="667" t="s">
        <v>218</v>
      </c>
      <c r="F411" s="184" t="s">
        <v>538</v>
      </c>
      <c r="G411" s="285">
        <v>70922</v>
      </c>
      <c r="H411" s="318" t="s">
        <v>109</v>
      </c>
      <c r="I411" s="200">
        <v>10000000</v>
      </c>
      <c r="J411" s="201"/>
      <c r="K411" s="633"/>
      <c r="L411" s="202"/>
      <c r="M411" s="901"/>
      <c r="N411" s="899"/>
      <c r="O411" s="901"/>
    </row>
    <row r="412" spans="1:15" ht="21" customHeight="1" x14ac:dyDescent="0.25">
      <c r="A412" s="316"/>
      <c r="B412" s="228" t="s">
        <v>442</v>
      </c>
      <c r="C412" s="316"/>
      <c r="D412" s="224"/>
      <c r="E412" s="316"/>
      <c r="F412" s="224"/>
      <c r="G412" s="224"/>
      <c r="H412" s="224"/>
      <c r="I412" s="197"/>
      <c r="J412" s="197"/>
      <c r="K412" s="633"/>
      <c r="L412" s="210"/>
      <c r="M412" s="215"/>
      <c r="N412" s="899"/>
      <c r="O412" s="215"/>
    </row>
    <row r="413" spans="1:15" ht="21" customHeight="1" x14ac:dyDescent="0.25">
      <c r="A413" s="878" t="s">
        <v>2168</v>
      </c>
      <c r="B413" s="198" t="s">
        <v>550</v>
      </c>
      <c r="C413" s="234" t="s">
        <v>91</v>
      </c>
      <c r="D413" s="188" t="s">
        <v>92</v>
      </c>
      <c r="E413" s="294" t="s">
        <v>444</v>
      </c>
      <c r="F413" s="188" t="s">
        <v>538</v>
      </c>
      <c r="G413" s="294" t="s">
        <v>432</v>
      </c>
      <c r="H413" s="318" t="s">
        <v>109</v>
      </c>
      <c r="I413" s="200">
        <v>500000</v>
      </c>
      <c r="J413" s="201">
        <v>493530.76095971017</v>
      </c>
      <c r="K413" s="633"/>
      <c r="L413" s="202"/>
      <c r="M413" s="901"/>
      <c r="N413" s="899"/>
      <c r="O413" s="901"/>
    </row>
    <row r="414" spans="1:15" ht="21" customHeight="1" x14ac:dyDescent="0.25">
      <c r="A414" s="681"/>
      <c r="B414" s="307" t="s">
        <v>551</v>
      </c>
      <c r="C414" s="231"/>
      <c r="D414" s="231"/>
      <c r="E414" s="231"/>
      <c r="F414" s="231"/>
      <c r="G414" s="231"/>
      <c r="H414" s="231"/>
      <c r="I414" s="194"/>
      <c r="J414" s="194">
        <f>SUM(J367,J375,J380,J382,J386,J389,J394,J397,J399,J401,J403,J405,J407,J409,J411,J413)</f>
        <v>605807964.1790055</v>
      </c>
      <c r="K414" s="633"/>
      <c r="L414" s="308"/>
      <c r="M414" s="938"/>
      <c r="N414" s="899"/>
      <c r="O414" s="938"/>
    </row>
    <row r="415" spans="1:15" ht="21" customHeight="1" x14ac:dyDescent="0.25">
      <c r="A415" s="316"/>
      <c r="B415" s="223" t="s">
        <v>552</v>
      </c>
      <c r="C415" s="224"/>
      <c r="D415" s="224"/>
      <c r="E415" s="316"/>
      <c r="F415" s="224"/>
      <c r="G415" s="224"/>
      <c r="H415" s="224"/>
      <c r="I415" s="197"/>
      <c r="J415" s="197"/>
      <c r="K415" s="633"/>
      <c r="L415" s="210"/>
      <c r="M415" s="215"/>
      <c r="N415" s="899"/>
      <c r="O415" s="215"/>
    </row>
    <row r="416" spans="1:15" ht="21" customHeight="1" x14ac:dyDescent="0.25">
      <c r="A416" s="316"/>
      <c r="B416" s="223" t="s">
        <v>458</v>
      </c>
      <c r="C416" s="223"/>
      <c r="D416" s="224"/>
      <c r="E416" s="316"/>
      <c r="F416" s="224"/>
      <c r="G416" s="224"/>
      <c r="H416" s="224"/>
      <c r="I416" s="197"/>
      <c r="J416" s="197"/>
      <c r="K416" s="633"/>
      <c r="L416" s="210"/>
      <c r="M416" s="215"/>
      <c r="N416" s="899"/>
      <c r="O416" s="215"/>
    </row>
    <row r="417" spans="1:15" ht="21" customHeight="1" x14ac:dyDescent="0.25">
      <c r="A417" s="878" t="s">
        <v>2172</v>
      </c>
      <c r="B417" s="265" t="s">
        <v>553</v>
      </c>
      <c r="C417" s="234" t="s">
        <v>91</v>
      </c>
      <c r="D417" s="188" t="s">
        <v>92</v>
      </c>
      <c r="E417" s="294" t="s">
        <v>460</v>
      </c>
      <c r="F417" s="295" t="s">
        <v>554</v>
      </c>
      <c r="G417" s="285">
        <v>70454</v>
      </c>
      <c r="H417" s="318" t="s">
        <v>109</v>
      </c>
      <c r="I417" s="200">
        <v>972000</v>
      </c>
      <c r="J417" s="201">
        <v>2961183.6152109448</v>
      </c>
      <c r="K417" s="633"/>
      <c r="L417" s="202"/>
      <c r="M417" s="903"/>
      <c r="N417" s="899"/>
      <c r="O417" s="901"/>
    </row>
    <row r="418" spans="1:15" ht="21" customHeight="1" x14ac:dyDescent="0.25">
      <c r="A418" s="316"/>
      <c r="B418" s="674" t="s">
        <v>555</v>
      </c>
      <c r="C418" s="316"/>
      <c r="D418" s="188"/>
      <c r="E418" s="317"/>
      <c r="F418" s="295"/>
      <c r="G418" s="285"/>
      <c r="H418" s="318"/>
      <c r="I418" s="200"/>
      <c r="J418" s="201"/>
      <c r="K418" s="633"/>
      <c r="L418" s="202"/>
      <c r="M418" s="903"/>
      <c r="N418" s="899"/>
      <c r="O418" s="901"/>
    </row>
    <row r="419" spans="1:15" ht="21" customHeight="1" x14ac:dyDescent="0.25">
      <c r="A419" s="316"/>
      <c r="B419" s="684" t="s">
        <v>556</v>
      </c>
      <c r="C419" s="230"/>
      <c r="D419" s="231"/>
      <c r="E419" s="657"/>
      <c r="F419" s="658"/>
      <c r="G419" s="231"/>
      <c r="H419" s="658"/>
      <c r="I419" s="659"/>
      <c r="J419" s="200"/>
      <c r="K419" s="633"/>
      <c r="L419" s="222"/>
      <c r="M419" s="901"/>
      <c r="N419" s="899"/>
      <c r="O419" s="901"/>
    </row>
    <row r="420" spans="1:15" ht="42" customHeight="1" x14ac:dyDescent="0.25">
      <c r="A420" s="650"/>
      <c r="B420" s="651">
        <v>23</v>
      </c>
      <c r="C420" s="236"/>
      <c r="D420" s="221"/>
      <c r="E420" s="655"/>
      <c r="F420" s="309"/>
      <c r="G420" s="661"/>
      <c r="H420" s="656"/>
      <c r="I420" s="222"/>
      <c r="J420" s="222"/>
      <c r="K420" s="633"/>
      <c r="L420" s="222"/>
      <c r="M420" s="311"/>
      <c r="N420" s="899"/>
      <c r="O420" s="269"/>
    </row>
    <row r="421" spans="1:15" ht="18" customHeight="1" x14ac:dyDescent="0.25">
      <c r="A421" s="316"/>
      <c r="B421" s="223" t="s">
        <v>165</v>
      </c>
      <c r="C421" s="316"/>
      <c r="D421" s="224"/>
      <c r="E421" s="317"/>
      <c r="F421" s="224"/>
      <c r="G421" s="224"/>
      <c r="H421" s="224"/>
      <c r="I421" s="197"/>
      <c r="J421" s="197"/>
      <c r="K421" s="633"/>
      <c r="L421" s="210"/>
      <c r="M421" s="215"/>
      <c r="N421" s="899"/>
      <c r="O421" s="215"/>
    </row>
    <row r="422" spans="1:15" ht="18" customHeight="1" x14ac:dyDescent="0.25">
      <c r="A422" s="316"/>
      <c r="B422" s="265" t="s">
        <v>557</v>
      </c>
      <c r="C422" s="235"/>
      <c r="D422" s="188"/>
      <c r="E422" s="294"/>
      <c r="F422" s="295"/>
      <c r="G422" s="285"/>
      <c r="H422" s="318"/>
      <c r="I422" s="200"/>
      <c r="J422" s="204">
        <v>0</v>
      </c>
      <c r="K422" s="633"/>
      <c r="L422" s="205"/>
      <c r="M422" s="901"/>
      <c r="N422" s="899"/>
      <c r="O422" s="901"/>
    </row>
    <row r="423" spans="1:15" ht="18" customHeight="1" x14ac:dyDescent="0.25">
      <c r="A423" s="316"/>
      <c r="B423" s="223" t="s">
        <v>234</v>
      </c>
      <c r="C423" s="316"/>
      <c r="D423" s="225"/>
      <c r="E423" s="225"/>
      <c r="F423" s="225"/>
      <c r="G423" s="225"/>
      <c r="H423" s="225"/>
      <c r="I423" s="226"/>
      <c r="J423" s="226"/>
      <c r="K423" s="633"/>
      <c r="L423" s="227"/>
      <c r="M423" s="938"/>
      <c r="N423" s="899"/>
      <c r="O423" s="938"/>
    </row>
    <row r="424" spans="1:15" ht="18" customHeight="1" x14ac:dyDescent="0.25">
      <c r="A424" s="878" t="s">
        <v>2170</v>
      </c>
      <c r="B424" s="265" t="s">
        <v>558</v>
      </c>
      <c r="C424" s="234" t="s">
        <v>91</v>
      </c>
      <c r="D424" s="188" t="s">
        <v>92</v>
      </c>
      <c r="E424" s="294" t="s">
        <v>236</v>
      </c>
      <c r="F424" s="266" t="s">
        <v>559</v>
      </c>
      <c r="G424" s="285">
        <v>71091</v>
      </c>
      <c r="H424" s="318" t="s">
        <v>109</v>
      </c>
      <c r="I424" s="200">
        <v>30000</v>
      </c>
      <c r="J424" s="201">
        <v>296118.46053643996</v>
      </c>
      <c r="K424" s="633"/>
      <c r="L424" s="202"/>
      <c r="M424" s="901"/>
      <c r="N424" s="899"/>
      <c r="O424" s="901"/>
    </row>
    <row r="425" spans="1:15" ht="18" customHeight="1" x14ac:dyDescent="0.25">
      <c r="A425" s="878" t="s">
        <v>2170</v>
      </c>
      <c r="B425" s="265" t="s">
        <v>560</v>
      </c>
      <c r="C425" s="234" t="s">
        <v>91</v>
      </c>
      <c r="D425" s="188" t="s">
        <v>92</v>
      </c>
      <c r="E425" s="294" t="s">
        <v>236</v>
      </c>
      <c r="F425" s="266" t="s">
        <v>559</v>
      </c>
      <c r="G425" s="285">
        <v>71091</v>
      </c>
      <c r="H425" s="318" t="s">
        <v>109</v>
      </c>
      <c r="I425" s="200">
        <v>200000</v>
      </c>
      <c r="J425" s="201">
        <v>296118.46053643996</v>
      </c>
      <c r="K425" s="633"/>
      <c r="L425" s="202"/>
      <c r="M425" s="903"/>
      <c r="N425" s="899"/>
      <c r="O425" s="903"/>
    </row>
    <row r="426" spans="1:15" ht="18" customHeight="1" x14ac:dyDescent="0.25">
      <c r="A426" s="878" t="s">
        <v>2170</v>
      </c>
      <c r="B426" s="265" t="s">
        <v>561</v>
      </c>
      <c r="C426" s="234" t="s">
        <v>91</v>
      </c>
      <c r="D426" s="188" t="s">
        <v>92</v>
      </c>
      <c r="E426" s="294" t="s">
        <v>236</v>
      </c>
      <c r="F426" s="266" t="s">
        <v>559</v>
      </c>
      <c r="G426" s="285">
        <v>71091</v>
      </c>
      <c r="H426" s="318" t="s">
        <v>109</v>
      </c>
      <c r="I426" s="200">
        <v>780597</v>
      </c>
      <c r="J426" s="201">
        <v>789649.2115946156</v>
      </c>
      <c r="K426" s="633"/>
      <c r="L426" s="202"/>
      <c r="M426" s="903"/>
      <c r="N426" s="899"/>
      <c r="O426" s="903"/>
    </row>
    <row r="427" spans="1:15" ht="18" customHeight="1" x14ac:dyDescent="0.25">
      <c r="A427" s="316"/>
      <c r="B427" s="298" t="s">
        <v>562</v>
      </c>
      <c r="C427" s="234"/>
      <c r="D427" s="188"/>
      <c r="E427" s="294"/>
      <c r="F427" s="266"/>
      <c r="G427" s="285"/>
      <c r="H427" s="318"/>
      <c r="I427" s="206">
        <f>SUM(I424:I426)</f>
        <v>1010597</v>
      </c>
      <c r="J427" s="212">
        <f>SUM(J424:J426)</f>
        <v>1381886.1326674954</v>
      </c>
      <c r="K427" s="633"/>
      <c r="L427" s="213"/>
      <c r="M427" s="903"/>
      <c r="N427" s="899"/>
      <c r="O427" s="903"/>
    </row>
    <row r="428" spans="1:15" ht="18" customHeight="1" x14ac:dyDescent="0.25">
      <c r="A428" s="316"/>
      <c r="B428" s="228" t="s">
        <v>563</v>
      </c>
      <c r="C428" s="316"/>
      <c r="D428" s="224"/>
      <c r="E428" s="316"/>
      <c r="F428" s="188"/>
      <c r="G428" s="285"/>
      <c r="H428" s="318"/>
      <c r="I428" s="200"/>
      <c r="J428" s="200"/>
      <c r="K428" s="633"/>
      <c r="L428" s="222"/>
      <c r="M428" s="908"/>
      <c r="N428" s="899"/>
      <c r="O428" s="269"/>
    </row>
    <row r="429" spans="1:15" ht="18" customHeight="1" x14ac:dyDescent="0.25">
      <c r="A429" s="878" t="s">
        <v>2170</v>
      </c>
      <c r="B429" s="198" t="s">
        <v>564</v>
      </c>
      <c r="C429" s="235"/>
      <c r="D429" s="188"/>
      <c r="E429" s="294"/>
      <c r="F429" s="188"/>
      <c r="G429" s="285"/>
      <c r="H429" s="318"/>
      <c r="I429" s="200"/>
      <c r="J429" s="201">
        <v>4935307.5897940323</v>
      </c>
      <c r="K429" s="633"/>
      <c r="L429" s="202"/>
      <c r="M429" s="903"/>
      <c r="N429" s="899"/>
      <c r="O429" s="901"/>
    </row>
    <row r="430" spans="1:15" ht="18" customHeight="1" x14ac:dyDescent="0.25">
      <c r="A430" s="316"/>
      <c r="B430" s="228" t="s">
        <v>565</v>
      </c>
      <c r="C430" s="316"/>
      <c r="D430" s="224"/>
      <c r="E430" s="316"/>
      <c r="F430" s="224"/>
      <c r="G430" s="224"/>
      <c r="H430" s="224"/>
      <c r="I430" s="197"/>
      <c r="J430" s="197"/>
      <c r="K430" s="633"/>
      <c r="L430" s="210"/>
      <c r="M430" s="215"/>
      <c r="N430" s="899"/>
      <c r="O430" s="215"/>
    </row>
    <row r="431" spans="1:15" ht="18" customHeight="1" x14ac:dyDescent="0.25">
      <c r="A431" s="878" t="s">
        <v>2168</v>
      </c>
      <c r="B431" s="265" t="s">
        <v>566</v>
      </c>
      <c r="C431" s="234" t="s">
        <v>91</v>
      </c>
      <c r="D431" s="188" t="s">
        <v>92</v>
      </c>
      <c r="E431" s="294" t="s">
        <v>537</v>
      </c>
      <c r="F431" s="295" t="s">
        <v>559</v>
      </c>
      <c r="G431" s="294" t="s">
        <v>420</v>
      </c>
      <c r="H431" s="318" t="s">
        <v>109</v>
      </c>
      <c r="I431" s="200">
        <v>720000</v>
      </c>
      <c r="J431" s="201">
        <v>493530.76095971017</v>
      </c>
      <c r="K431" s="633"/>
      <c r="L431" s="202"/>
      <c r="M431" s="901"/>
      <c r="N431" s="899"/>
      <c r="O431" s="901"/>
    </row>
    <row r="432" spans="1:15" ht="18" customHeight="1" x14ac:dyDescent="0.25">
      <c r="A432" s="316"/>
      <c r="B432" s="228" t="s">
        <v>241</v>
      </c>
      <c r="C432" s="316"/>
      <c r="D432" s="224"/>
      <c r="E432" s="317"/>
      <c r="F432" s="224"/>
      <c r="G432" s="224"/>
      <c r="H432" s="224"/>
      <c r="I432" s="197"/>
      <c r="J432" s="197"/>
      <c r="K432" s="633"/>
      <c r="L432" s="210"/>
      <c r="M432" s="215"/>
      <c r="N432" s="899"/>
      <c r="O432" s="215"/>
    </row>
    <row r="433" spans="1:15" ht="18" customHeight="1" x14ac:dyDescent="0.25">
      <c r="A433" s="878" t="s">
        <v>2170</v>
      </c>
      <c r="B433" s="198" t="s">
        <v>567</v>
      </c>
      <c r="C433" s="234" t="s">
        <v>91</v>
      </c>
      <c r="D433" s="188" t="s">
        <v>92</v>
      </c>
      <c r="E433" s="294" t="s">
        <v>243</v>
      </c>
      <c r="F433" s="188" t="s">
        <v>559</v>
      </c>
      <c r="G433" s="285">
        <v>70860</v>
      </c>
      <c r="H433" s="318" t="s">
        <v>109</v>
      </c>
      <c r="I433" s="200">
        <v>1279586</v>
      </c>
      <c r="J433" s="200"/>
      <c r="K433" s="633"/>
      <c r="L433" s="222"/>
      <c r="M433" s="903"/>
      <c r="N433" s="899"/>
      <c r="O433" s="901"/>
    </row>
    <row r="434" spans="1:15" ht="18" customHeight="1" x14ac:dyDescent="0.25">
      <c r="A434" s="878" t="s">
        <v>2170</v>
      </c>
      <c r="B434" s="198" t="s">
        <v>568</v>
      </c>
      <c r="C434" s="234" t="s">
        <v>91</v>
      </c>
      <c r="D434" s="188" t="s">
        <v>92</v>
      </c>
      <c r="E434" s="294" t="s">
        <v>243</v>
      </c>
      <c r="F434" s="188" t="s">
        <v>559</v>
      </c>
      <c r="G434" s="285">
        <v>70860</v>
      </c>
      <c r="H434" s="318" t="s">
        <v>109</v>
      </c>
      <c r="I434" s="200">
        <v>7805972</v>
      </c>
      <c r="J434" s="200"/>
      <c r="K434" s="633"/>
      <c r="L434" s="222"/>
      <c r="M434" s="903"/>
      <c r="N434" s="899"/>
      <c r="O434" s="901"/>
    </row>
    <row r="435" spans="1:15" ht="18" customHeight="1" x14ac:dyDescent="0.25">
      <c r="A435" s="878" t="s">
        <v>2170</v>
      </c>
      <c r="B435" s="198" t="s">
        <v>569</v>
      </c>
      <c r="C435" s="234" t="s">
        <v>91</v>
      </c>
      <c r="D435" s="188" t="s">
        <v>92</v>
      </c>
      <c r="E435" s="294" t="s">
        <v>243</v>
      </c>
      <c r="F435" s="188" t="s">
        <v>570</v>
      </c>
      <c r="G435" s="285">
        <v>70860</v>
      </c>
      <c r="H435" s="318" t="s">
        <v>109</v>
      </c>
      <c r="I435" s="200">
        <v>975746</v>
      </c>
      <c r="J435" s="200"/>
      <c r="K435" s="633"/>
      <c r="L435" s="222"/>
      <c r="M435" s="903"/>
      <c r="N435" s="899"/>
      <c r="O435" s="903"/>
    </row>
    <row r="436" spans="1:15" ht="18" customHeight="1" x14ac:dyDescent="0.25">
      <c r="A436" s="316"/>
      <c r="B436" s="888" t="s">
        <v>117</v>
      </c>
      <c r="C436" s="234"/>
      <c r="D436" s="188"/>
      <c r="E436" s="294"/>
      <c r="F436" s="188"/>
      <c r="G436" s="285"/>
      <c r="H436" s="318"/>
      <c r="I436" s="206">
        <f>SUM(I433:I435)</f>
        <v>10061304</v>
      </c>
      <c r="J436" s="286">
        <f>SUM(J433:J435)</f>
        <v>0</v>
      </c>
      <c r="K436" s="633"/>
      <c r="L436" s="287"/>
      <c r="M436" s="903"/>
      <c r="N436" s="899"/>
      <c r="O436" s="903"/>
    </row>
    <row r="437" spans="1:15" ht="18" customHeight="1" x14ac:dyDescent="0.25">
      <c r="A437" s="316"/>
      <c r="B437" s="888" t="s">
        <v>571</v>
      </c>
      <c r="C437" s="234"/>
      <c r="D437" s="188"/>
      <c r="E437" s="294"/>
      <c r="F437" s="188"/>
      <c r="G437" s="285"/>
      <c r="H437" s="318"/>
      <c r="I437" s="200"/>
      <c r="J437" s="206">
        <f>SUM(J417,J419,J422,J427,J429,J431,J436)</f>
        <v>9771908.0986321829</v>
      </c>
      <c r="K437" s="633"/>
      <c r="L437" s="300"/>
      <c r="M437" s="903"/>
      <c r="N437" s="899"/>
      <c r="O437" s="903"/>
    </row>
    <row r="438" spans="1:15" ht="18" customHeight="1" x14ac:dyDescent="0.25">
      <c r="A438" s="316"/>
      <c r="B438" s="228" t="s">
        <v>572</v>
      </c>
      <c r="C438" s="224"/>
      <c r="D438" s="224"/>
      <c r="E438" s="317"/>
      <c r="F438" s="224"/>
      <c r="G438" s="224"/>
      <c r="H438" s="224"/>
      <c r="I438" s="197"/>
      <c r="J438" s="197"/>
      <c r="K438" s="633"/>
      <c r="L438" s="210"/>
      <c r="M438" s="215"/>
      <c r="N438" s="899"/>
      <c r="O438" s="215"/>
    </row>
    <row r="439" spans="1:15" ht="18" customHeight="1" x14ac:dyDescent="0.25">
      <c r="A439" s="316"/>
      <c r="B439" s="228" t="s">
        <v>486</v>
      </c>
      <c r="C439" s="316"/>
      <c r="D439" s="224"/>
      <c r="E439" s="316"/>
      <c r="F439" s="224"/>
      <c r="G439" s="224"/>
      <c r="H439" s="224"/>
      <c r="I439" s="197"/>
      <c r="J439" s="197"/>
      <c r="K439" s="633"/>
      <c r="L439" s="210"/>
      <c r="M439" s="215"/>
      <c r="N439" s="899"/>
      <c r="O439" s="215"/>
    </row>
    <row r="440" spans="1:15" ht="18" customHeight="1" x14ac:dyDescent="0.25">
      <c r="A440" s="878" t="s">
        <v>2173</v>
      </c>
      <c r="B440" s="310" t="s">
        <v>573</v>
      </c>
      <c r="C440" s="199" t="s">
        <v>91</v>
      </c>
      <c r="D440" s="184" t="s">
        <v>92</v>
      </c>
      <c r="E440" s="294" t="s">
        <v>160</v>
      </c>
      <c r="F440" s="188" t="s">
        <v>574</v>
      </c>
      <c r="G440" s="285">
        <v>70421</v>
      </c>
      <c r="H440" s="318" t="s">
        <v>109</v>
      </c>
      <c r="I440" s="200">
        <v>150000</v>
      </c>
      <c r="J440" s="200"/>
      <c r="K440" s="633"/>
      <c r="L440" s="222"/>
      <c r="M440" s="903"/>
      <c r="N440" s="899"/>
      <c r="O440" s="903"/>
    </row>
    <row r="441" spans="1:15" ht="18" customHeight="1" x14ac:dyDescent="0.25">
      <c r="A441" s="878" t="s">
        <v>2122</v>
      </c>
      <c r="B441" s="310" t="s">
        <v>276</v>
      </c>
      <c r="C441" s="199"/>
      <c r="D441" s="184"/>
      <c r="E441" s="294"/>
      <c r="F441" s="188"/>
      <c r="G441" s="285"/>
      <c r="H441" s="318" t="s">
        <v>109</v>
      </c>
      <c r="I441" s="200"/>
      <c r="J441" s="201">
        <v>1961402.8988665878</v>
      </c>
      <c r="K441" s="633"/>
      <c r="L441" s="202"/>
      <c r="M441" s="901"/>
      <c r="N441" s="899"/>
      <c r="O441" s="901"/>
    </row>
    <row r="442" spans="1:15" ht="18" customHeight="1" x14ac:dyDescent="0.25">
      <c r="A442" s="316"/>
      <c r="B442" s="310" t="s">
        <v>277</v>
      </c>
      <c r="C442" s="199"/>
      <c r="D442" s="184"/>
      <c r="E442" s="294"/>
      <c r="F442" s="188"/>
      <c r="G442" s="285"/>
      <c r="H442" s="318" t="s">
        <v>109</v>
      </c>
      <c r="I442" s="200"/>
      <c r="J442" s="201">
        <v>297046.03629243578</v>
      </c>
      <c r="K442" s="633"/>
      <c r="L442" s="202"/>
      <c r="M442" s="311"/>
      <c r="N442" s="899"/>
      <c r="O442" s="901"/>
    </row>
    <row r="443" spans="1:15" ht="18" customHeight="1" x14ac:dyDescent="0.25">
      <c r="A443" s="316"/>
      <c r="B443" s="310" t="s">
        <v>257</v>
      </c>
      <c r="C443" s="199"/>
      <c r="D443" s="184"/>
      <c r="E443" s="294"/>
      <c r="F443" s="188"/>
      <c r="G443" s="285"/>
      <c r="H443" s="318" t="s">
        <v>109</v>
      </c>
      <c r="I443" s="200"/>
      <c r="J443" s="201">
        <v>198030.69086162385</v>
      </c>
      <c r="K443" s="633"/>
      <c r="L443" s="202"/>
      <c r="M443" s="311"/>
      <c r="N443" s="899"/>
      <c r="O443" s="901"/>
    </row>
    <row r="444" spans="1:15" ht="18" customHeight="1" x14ac:dyDescent="0.25">
      <c r="A444" s="316"/>
      <c r="B444" s="310" t="s">
        <v>278</v>
      </c>
      <c r="C444" s="199"/>
      <c r="D444" s="184"/>
      <c r="E444" s="294"/>
      <c r="F444" s="188"/>
      <c r="G444" s="285"/>
      <c r="H444" s="318" t="s">
        <v>109</v>
      </c>
      <c r="I444" s="200"/>
      <c r="J444" s="201">
        <v>990153.45430811925</v>
      </c>
      <c r="K444" s="633"/>
      <c r="L444" s="202"/>
      <c r="M444" s="311"/>
      <c r="N444" s="899"/>
      <c r="O444" s="901"/>
    </row>
    <row r="445" spans="1:15" ht="18" customHeight="1" x14ac:dyDescent="0.25">
      <c r="A445" s="316"/>
      <c r="B445" s="310" t="s">
        <v>279</v>
      </c>
      <c r="C445" s="199"/>
      <c r="D445" s="184"/>
      <c r="E445" s="294"/>
      <c r="F445" s="188"/>
      <c r="G445" s="285"/>
      <c r="H445" s="318" t="s">
        <v>109</v>
      </c>
      <c r="I445" s="200"/>
      <c r="J445" s="201">
        <v>297046.03629243578</v>
      </c>
      <c r="K445" s="633"/>
      <c r="L445" s="202"/>
      <c r="M445" s="311"/>
      <c r="N445" s="899"/>
      <c r="O445" s="901"/>
    </row>
    <row r="446" spans="1:15" ht="18" customHeight="1" x14ac:dyDescent="0.25">
      <c r="A446" s="316"/>
      <c r="B446" s="310" t="s">
        <v>257</v>
      </c>
      <c r="C446" s="199"/>
      <c r="D446" s="184"/>
      <c r="E446" s="294"/>
      <c r="F446" s="188"/>
      <c r="G446" s="285"/>
      <c r="H446" s="318" t="s">
        <v>109</v>
      </c>
      <c r="I446" s="200"/>
      <c r="J446" s="201">
        <v>175851.253485122</v>
      </c>
      <c r="K446" s="633"/>
      <c r="L446" s="202"/>
      <c r="M446" s="311"/>
      <c r="N446" s="899"/>
      <c r="O446" s="901"/>
    </row>
    <row r="447" spans="1:15" ht="18" customHeight="1" x14ac:dyDescent="0.25">
      <c r="A447" s="878" t="s">
        <v>2122</v>
      </c>
      <c r="B447" s="310" t="s">
        <v>575</v>
      </c>
      <c r="C447" s="199"/>
      <c r="D447" s="184"/>
      <c r="E447" s="294"/>
      <c r="F447" s="188"/>
      <c r="G447" s="285"/>
      <c r="H447" s="318" t="s">
        <v>109</v>
      </c>
      <c r="I447" s="200"/>
      <c r="J447" s="201">
        <v>1871529.640279403</v>
      </c>
      <c r="K447" s="633"/>
      <c r="L447" s="202"/>
      <c r="M447" s="311"/>
      <c r="N447" s="899"/>
      <c r="O447" s="901"/>
    </row>
    <row r="448" spans="1:15" ht="18" customHeight="1" x14ac:dyDescent="0.25">
      <c r="A448" s="878" t="s">
        <v>2122</v>
      </c>
      <c r="B448" s="198" t="s">
        <v>576</v>
      </c>
      <c r="C448" s="199" t="s">
        <v>91</v>
      </c>
      <c r="D448" s="184" t="s">
        <v>92</v>
      </c>
      <c r="E448" s="294" t="s">
        <v>160</v>
      </c>
      <c r="F448" s="188" t="s">
        <v>577</v>
      </c>
      <c r="G448" s="285">
        <v>70421</v>
      </c>
      <c r="H448" s="318" t="s">
        <v>109</v>
      </c>
      <c r="I448" s="200">
        <v>1890141</v>
      </c>
      <c r="J448" s="200"/>
      <c r="K448" s="633"/>
      <c r="L448" s="222"/>
      <c r="M448" s="311"/>
      <c r="N448" s="899"/>
      <c r="O448" s="903"/>
    </row>
    <row r="449" spans="1:15" ht="18" customHeight="1" x14ac:dyDescent="0.25">
      <c r="A449" s="878" t="s">
        <v>2122</v>
      </c>
      <c r="B449" s="198" t="s">
        <v>576</v>
      </c>
      <c r="C449" s="199" t="s">
        <v>91</v>
      </c>
      <c r="D449" s="184" t="s">
        <v>92</v>
      </c>
      <c r="E449" s="294" t="s">
        <v>160</v>
      </c>
      <c r="F449" s="188" t="s">
        <v>577</v>
      </c>
      <c r="G449" s="285">
        <v>70421</v>
      </c>
      <c r="H449" s="318" t="s">
        <v>109</v>
      </c>
      <c r="I449" s="200">
        <v>3000000</v>
      </c>
      <c r="J449" s="200"/>
      <c r="K449" s="633"/>
      <c r="L449" s="222"/>
      <c r="M449" s="311"/>
      <c r="N449" s="899"/>
      <c r="O449" s="903"/>
    </row>
    <row r="450" spans="1:15" ht="18" customHeight="1" x14ac:dyDescent="0.25">
      <c r="A450" s="316"/>
      <c r="B450" s="888" t="s">
        <v>117</v>
      </c>
      <c r="C450" s="230"/>
      <c r="D450" s="184"/>
      <c r="E450" s="294"/>
      <c r="F450" s="188"/>
      <c r="G450" s="285"/>
      <c r="H450" s="318"/>
      <c r="I450" s="206">
        <f>SUM(I440:I449)</f>
        <v>5040141</v>
      </c>
      <c r="J450" s="212">
        <f>SUM(J440:J449)</f>
        <v>5791060.0103857266</v>
      </c>
      <c r="K450" s="633"/>
      <c r="L450" s="213"/>
      <c r="M450" s="311"/>
      <c r="N450" s="899"/>
      <c r="O450" s="269"/>
    </row>
    <row r="451" spans="1:15" ht="42" customHeight="1" x14ac:dyDescent="0.25">
      <c r="A451" s="650"/>
      <c r="B451" s="651">
        <v>24</v>
      </c>
      <c r="C451" s="255"/>
      <c r="D451" s="220"/>
      <c r="E451" s="655"/>
      <c r="F451" s="221"/>
      <c r="G451" s="661"/>
      <c r="H451" s="656"/>
      <c r="I451" s="222"/>
      <c r="J451" s="213"/>
      <c r="K451" s="633"/>
      <c r="L451" s="213"/>
      <c r="M451" s="311"/>
      <c r="N451" s="899"/>
      <c r="O451" s="269"/>
    </row>
    <row r="452" spans="1:15" ht="21" customHeight="1" x14ac:dyDescent="0.25">
      <c r="A452" s="316"/>
      <c r="B452" s="228" t="s">
        <v>241</v>
      </c>
      <c r="C452" s="316"/>
      <c r="D452" s="224"/>
      <c r="E452" s="316"/>
      <c r="F452" s="224"/>
      <c r="G452" s="224"/>
      <c r="H452" s="224"/>
      <c r="I452" s="197"/>
      <c r="J452" s="197"/>
      <c r="K452" s="633"/>
      <c r="L452" s="210"/>
      <c r="M452" s="215"/>
      <c r="N452" s="899"/>
      <c r="O452" s="215"/>
    </row>
    <row r="453" spans="1:15" ht="21" customHeight="1" x14ac:dyDescent="0.25">
      <c r="A453" s="878" t="s">
        <v>2174</v>
      </c>
      <c r="B453" s="198" t="s">
        <v>578</v>
      </c>
      <c r="C453" s="234" t="s">
        <v>91</v>
      </c>
      <c r="D453" s="188" t="s">
        <v>92</v>
      </c>
      <c r="E453" s="294" t="s">
        <v>243</v>
      </c>
      <c r="F453" s="188" t="s">
        <v>579</v>
      </c>
      <c r="G453" s="285">
        <v>70860</v>
      </c>
      <c r="H453" s="318" t="s">
        <v>109</v>
      </c>
      <c r="I453" s="200">
        <v>500000</v>
      </c>
      <c r="J453" s="200"/>
      <c r="K453" s="633"/>
      <c r="L453" s="222"/>
      <c r="M453" s="903"/>
      <c r="N453" s="899"/>
      <c r="O453" s="903"/>
    </row>
    <row r="454" spans="1:15" ht="21" customHeight="1" x14ac:dyDescent="0.25">
      <c r="A454" s="316"/>
      <c r="B454" s="223" t="s">
        <v>497</v>
      </c>
      <c r="C454" s="316"/>
      <c r="D454" s="224"/>
      <c r="E454" s="317"/>
      <c r="F454" s="224"/>
      <c r="G454" s="224"/>
      <c r="H454" s="224"/>
      <c r="I454" s="197"/>
      <c r="J454" s="197"/>
      <c r="K454" s="633"/>
      <c r="L454" s="210"/>
      <c r="M454" s="215"/>
      <c r="N454" s="899"/>
      <c r="O454" s="215"/>
    </row>
    <row r="455" spans="1:15" ht="21" customHeight="1" x14ac:dyDescent="0.25">
      <c r="A455" s="878" t="s">
        <v>2175</v>
      </c>
      <c r="B455" s="198" t="s">
        <v>580</v>
      </c>
      <c r="C455" s="199" t="s">
        <v>91</v>
      </c>
      <c r="D455" s="184" t="s">
        <v>92</v>
      </c>
      <c r="E455" s="294" t="s">
        <v>499</v>
      </c>
      <c r="F455" s="188" t="s">
        <v>581</v>
      </c>
      <c r="G455" s="294" t="s">
        <v>432</v>
      </c>
      <c r="H455" s="318" t="s">
        <v>109</v>
      </c>
      <c r="I455" s="319">
        <v>8000</v>
      </c>
      <c r="J455" s="226"/>
      <c r="K455" s="633"/>
      <c r="L455" s="227"/>
      <c r="M455" s="901"/>
      <c r="N455" s="899"/>
      <c r="O455" s="901"/>
    </row>
    <row r="456" spans="1:15" ht="21" customHeight="1" x14ac:dyDescent="0.25">
      <c r="A456" s="316"/>
      <c r="B456" s="228" t="s">
        <v>582</v>
      </c>
      <c r="C456" s="316"/>
      <c r="D456" s="224"/>
      <c r="E456" s="317"/>
      <c r="F456" s="224"/>
      <c r="G456" s="224"/>
      <c r="H456" s="224"/>
      <c r="I456" s="197"/>
      <c r="J456" s="197"/>
      <c r="K456" s="633"/>
      <c r="L456" s="210"/>
      <c r="M456" s="215"/>
      <c r="N456" s="899"/>
      <c r="O456" s="215"/>
    </row>
    <row r="457" spans="1:15" ht="21" customHeight="1" x14ac:dyDescent="0.25">
      <c r="A457" s="878" t="s">
        <v>2176</v>
      </c>
      <c r="B457" s="198" t="s">
        <v>583</v>
      </c>
      <c r="C457" s="199" t="s">
        <v>91</v>
      </c>
      <c r="D457" s="184" t="s">
        <v>92</v>
      </c>
      <c r="E457" s="294" t="s">
        <v>356</v>
      </c>
      <c r="F457" s="188" t="s">
        <v>584</v>
      </c>
      <c r="G457" s="285">
        <v>70620</v>
      </c>
      <c r="H457" s="318" t="s">
        <v>109</v>
      </c>
      <c r="I457" s="226">
        <v>1029314104</v>
      </c>
      <c r="J457" s="201">
        <v>61483556.635136031</v>
      </c>
      <c r="K457" s="633"/>
      <c r="L457" s="931"/>
      <c r="M457" s="901"/>
      <c r="N457" s="899"/>
      <c r="O457" s="901"/>
    </row>
    <row r="458" spans="1:15" ht="21" customHeight="1" x14ac:dyDescent="0.25">
      <c r="A458" s="681"/>
      <c r="B458" s="888" t="s">
        <v>585</v>
      </c>
      <c r="C458" s="230"/>
      <c r="D458" s="279"/>
      <c r="E458" s="649"/>
      <c r="F458" s="224"/>
      <c r="G458" s="675"/>
      <c r="H458" s="676"/>
      <c r="I458" s="212">
        <f>SUM(I450,I453,I455,I457)</f>
        <v>1034862245</v>
      </c>
      <c r="J458" s="212">
        <f>SUM(J450,J453,J455,J457)</f>
        <v>67274616.64552176</v>
      </c>
      <c r="K458" s="633"/>
      <c r="L458" s="312"/>
      <c r="M458" s="901"/>
      <c r="N458" s="899"/>
      <c r="O458" s="901"/>
    </row>
    <row r="459" spans="1:15" ht="21" customHeight="1" x14ac:dyDescent="0.25">
      <c r="A459" s="316"/>
      <c r="B459" s="228" t="s">
        <v>586</v>
      </c>
      <c r="C459" s="294"/>
      <c r="D459" s="224"/>
      <c r="E459" s="316"/>
      <c r="F459" s="224"/>
      <c r="G459" s="224"/>
      <c r="H459" s="224"/>
      <c r="I459" s="197"/>
      <c r="J459" s="197"/>
      <c r="K459" s="633"/>
      <c r="L459" s="210"/>
      <c r="M459" s="215"/>
      <c r="N459" s="899"/>
      <c r="O459" s="215"/>
    </row>
    <row r="460" spans="1:15" ht="21" customHeight="1" x14ac:dyDescent="0.25">
      <c r="A460" s="316"/>
      <c r="B460" s="223" t="s">
        <v>222</v>
      </c>
      <c r="C460" s="316"/>
      <c r="D460" s="224"/>
      <c r="E460" s="316"/>
      <c r="F460" s="224"/>
      <c r="G460" s="224"/>
      <c r="H460" s="224"/>
      <c r="I460" s="197"/>
      <c r="J460" s="197"/>
      <c r="K460" s="633"/>
      <c r="L460" s="210"/>
      <c r="M460" s="215"/>
      <c r="N460" s="899"/>
      <c r="O460" s="215"/>
    </row>
    <row r="461" spans="1:15" ht="18" customHeight="1" x14ac:dyDescent="0.25">
      <c r="A461" s="878" t="s">
        <v>2177</v>
      </c>
      <c r="B461" s="313" t="s">
        <v>587</v>
      </c>
      <c r="C461" s="199" t="s">
        <v>91</v>
      </c>
      <c r="D461" s="184" t="s">
        <v>92</v>
      </c>
      <c r="E461" s="294" t="s">
        <v>224</v>
      </c>
      <c r="F461" s="188" t="s">
        <v>588</v>
      </c>
      <c r="G461" s="285">
        <v>70411</v>
      </c>
      <c r="H461" s="318" t="s">
        <v>109</v>
      </c>
      <c r="I461" s="200">
        <v>81480000</v>
      </c>
      <c r="J461" s="314">
        <v>380018684.76069421</v>
      </c>
      <c r="K461" s="633"/>
      <c r="L461" s="315"/>
      <c r="M461" s="941"/>
      <c r="N461" s="899"/>
      <c r="O461" s="901"/>
    </row>
    <row r="462" spans="1:15" ht="21" customHeight="1" x14ac:dyDescent="0.25">
      <c r="A462" s="878" t="s">
        <v>2177</v>
      </c>
      <c r="B462" s="313" t="s">
        <v>589</v>
      </c>
      <c r="C462" s="199" t="s">
        <v>91</v>
      </c>
      <c r="D462" s="184" t="s">
        <v>92</v>
      </c>
      <c r="E462" s="294" t="s">
        <v>224</v>
      </c>
      <c r="F462" s="188" t="s">
        <v>588</v>
      </c>
      <c r="G462" s="285">
        <v>70411</v>
      </c>
      <c r="H462" s="318" t="s">
        <v>109</v>
      </c>
      <c r="I462" s="200">
        <v>60000000</v>
      </c>
      <c r="J462" s="314">
        <v>217153534.14896813</v>
      </c>
      <c r="K462" s="633"/>
      <c r="L462" s="315"/>
      <c r="M462" s="941"/>
      <c r="N462" s="899"/>
      <c r="O462" s="903"/>
    </row>
    <row r="463" spans="1:15" ht="33.75" customHeight="1" x14ac:dyDescent="0.25">
      <c r="A463" s="878" t="s">
        <v>2177</v>
      </c>
      <c r="B463" s="198" t="s">
        <v>590</v>
      </c>
      <c r="C463" s="199" t="s">
        <v>91</v>
      </c>
      <c r="D463" s="184" t="s">
        <v>92</v>
      </c>
      <c r="E463" s="294" t="s">
        <v>224</v>
      </c>
      <c r="F463" s="668" t="s">
        <v>591</v>
      </c>
      <c r="G463" s="285">
        <v>70411</v>
      </c>
      <c r="H463" s="318" t="s">
        <v>109</v>
      </c>
      <c r="I463" s="200">
        <v>81480000</v>
      </c>
      <c r="J463" s="314">
        <v>98706151.884994462</v>
      </c>
      <c r="K463" s="633"/>
      <c r="L463" s="315"/>
      <c r="M463" s="941"/>
      <c r="N463" s="899"/>
      <c r="O463" s="903"/>
    </row>
    <row r="464" spans="1:15" ht="21" customHeight="1" x14ac:dyDescent="0.25">
      <c r="A464" s="316"/>
      <c r="B464" s="888" t="s">
        <v>117</v>
      </c>
      <c r="C464" s="230"/>
      <c r="D464" s="184"/>
      <c r="E464" s="294"/>
      <c r="F464" s="668"/>
      <c r="G464" s="285"/>
      <c r="H464" s="318"/>
      <c r="I464" s="212">
        <f>SUM(I461:I463)</f>
        <v>222960000</v>
      </c>
      <c r="J464" s="212">
        <f>SUM(J461:J463)</f>
        <v>695878370.79465687</v>
      </c>
      <c r="K464" s="633"/>
      <c r="L464" s="213"/>
      <c r="M464" s="311"/>
      <c r="N464" s="899"/>
      <c r="O464" s="269"/>
    </row>
    <row r="465" spans="1:15" ht="21" customHeight="1" x14ac:dyDescent="0.25">
      <c r="A465" s="316"/>
      <c r="B465" s="223" t="s">
        <v>486</v>
      </c>
      <c r="C465" s="316"/>
      <c r="D465" s="224"/>
      <c r="E465" s="316"/>
      <c r="F465" s="224"/>
      <c r="G465" s="285"/>
      <c r="H465" s="318"/>
      <c r="I465" s="200"/>
      <c r="J465" s="200"/>
      <c r="K465" s="633"/>
      <c r="L465" s="205"/>
      <c r="M465" s="311"/>
      <c r="N465" s="899"/>
      <c r="O465" s="903"/>
    </row>
    <row r="466" spans="1:15" ht="21" customHeight="1" x14ac:dyDescent="0.25">
      <c r="A466" s="890" t="s">
        <v>2178</v>
      </c>
      <c r="B466" s="198" t="s">
        <v>592</v>
      </c>
      <c r="C466" s="199"/>
      <c r="D466" s="184"/>
      <c r="E466" s="294"/>
      <c r="F466" s="668"/>
      <c r="G466" s="285"/>
      <c r="H466" s="318"/>
      <c r="I466" s="200"/>
      <c r="J466" s="201">
        <v>98706151.875092939</v>
      </c>
      <c r="K466" s="633"/>
      <c r="L466" s="315"/>
      <c r="M466" s="311"/>
      <c r="N466" s="899"/>
      <c r="O466" s="901"/>
    </row>
    <row r="467" spans="1:15" ht="21" customHeight="1" x14ac:dyDescent="0.25">
      <c r="A467" s="316"/>
      <c r="B467" s="291" t="s">
        <v>593</v>
      </c>
      <c r="C467" s="316"/>
      <c r="D467" s="184"/>
      <c r="E467" s="316"/>
      <c r="F467" s="668"/>
      <c r="G467" s="285"/>
      <c r="H467" s="318"/>
      <c r="I467" s="200"/>
      <c r="J467" s="200"/>
      <c r="K467" s="633"/>
      <c r="L467" s="222"/>
      <c r="M467" s="311"/>
      <c r="N467" s="899"/>
      <c r="O467" s="903"/>
    </row>
    <row r="468" spans="1:15" ht="21" customHeight="1" x14ac:dyDescent="0.25">
      <c r="A468" s="878" t="s">
        <v>2179</v>
      </c>
      <c r="B468" s="198" t="s">
        <v>594</v>
      </c>
      <c r="C468" s="199"/>
      <c r="D468" s="184"/>
      <c r="E468" s="294"/>
      <c r="F468" s="668"/>
      <c r="G468" s="285"/>
      <c r="H468" s="318"/>
      <c r="I468" s="200"/>
      <c r="J468" s="200"/>
      <c r="K468" s="633"/>
      <c r="L468" s="222"/>
      <c r="M468" s="901"/>
      <c r="N468" s="899"/>
      <c r="O468" s="901"/>
    </row>
    <row r="469" spans="1:15" ht="21" customHeight="1" x14ac:dyDescent="0.25">
      <c r="A469" s="316"/>
      <c r="B469" s="291" t="s">
        <v>595</v>
      </c>
      <c r="C469" s="291"/>
      <c r="D469" s="184"/>
      <c r="E469" s="294"/>
      <c r="F469" s="668"/>
      <c r="G469" s="285"/>
      <c r="H469" s="318"/>
      <c r="I469" s="200"/>
      <c r="J469" s="200"/>
      <c r="K469" s="633"/>
      <c r="L469" s="222"/>
      <c r="M469" s="269"/>
      <c r="N469" s="899"/>
      <c r="O469" s="269"/>
    </row>
    <row r="470" spans="1:15" ht="21" customHeight="1" x14ac:dyDescent="0.25">
      <c r="A470" s="316"/>
      <c r="B470" s="198" t="s">
        <v>596</v>
      </c>
      <c r="C470" s="199"/>
      <c r="D470" s="184"/>
      <c r="E470" s="294"/>
      <c r="F470" s="668"/>
      <c r="G470" s="285"/>
      <c r="H470" s="318"/>
      <c r="I470" s="200"/>
      <c r="J470" s="200"/>
      <c r="K470" s="633"/>
      <c r="L470" s="222"/>
      <c r="M470" s="901"/>
      <c r="N470" s="899"/>
      <c r="O470" s="901"/>
    </row>
    <row r="471" spans="1:15" ht="21" customHeight="1" x14ac:dyDescent="0.25">
      <c r="A471" s="316"/>
      <c r="B471" s="228" t="s">
        <v>597</v>
      </c>
      <c r="C471" s="316"/>
      <c r="D471" s="224"/>
      <c r="E471" s="317"/>
      <c r="F471" s="224"/>
      <c r="G471" s="224"/>
      <c r="H471" s="224"/>
      <c r="I471" s="197"/>
      <c r="J471" s="197"/>
      <c r="K471" s="633"/>
      <c r="L471" s="210"/>
      <c r="M471" s="215"/>
      <c r="N471" s="899"/>
      <c r="O471" s="215"/>
    </row>
    <row r="472" spans="1:15" ht="21" customHeight="1" x14ac:dyDescent="0.25">
      <c r="A472" s="878" t="s">
        <v>2177</v>
      </c>
      <c r="B472" s="313" t="s">
        <v>590</v>
      </c>
      <c r="C472" s="199" t="s">
        <v>91</v>
      </c>
      <c r="D472" s="184" t="s">
        <v>92</v>
      </c>
      <c r="E472" s="294" t="s">
        <v>598</v>
      </c>
      <c r="F472" s="668" t="s">
        <v>591</v>
      </c>
      <c r="G472" s="285" t="s">
        <v>432</v>
      </c>
      <c r="H472" s="318" t="s">
        <v>109</v>
      </c>
      <c r="I472" s="200" t="s">
        <v>599</v>
      </c>
      <c r="J472" s="204">
        <v>0</v>
      </c>
      <c r="K472" s="633"/>
      <c r="L472" s="205"/>
      <c r="M472" s="903"/>
      <c r="N472" s="899"/>
      <c r="O472" s="903"/>
    </row>
    <row r="473" spans="1:15" ht="21" customHeight="1" x14ac:dyDescent="0.25">
      <c r="A473" s="316"/>
      <c r="B473" s="223" t="s">
        <v>600</v>
      </c>
      <c r="C473" s="199"/>
      <c r="D473" s="184"/>
      <c r="E473" s="294"/>
      <c r="F473" s="188"/>
      <c r="G473" s="285"/>
      <c r="H473" s="318"/>
      <c r="I473" s="206">
        <f>SUM(I464,I466,I468,I470,I472)</f>
        <v>222960000</v>
      </c>
      <c r="J473" s="206">
        <f>SUM(J464,J466,J468,J470,J472)</f>
        <v>794584522.66974986</v>
      </c>
      <c r="K473" s="633"/>
      <c r="L473" s="300"/>
      <c r="M473" s="311"/>
      <c r="N473" s="899"/>
      <c r="O473" s="903"/>
    </row>
    <row r="474" spans="1:15" ht="18" customHeight="1" x14ac:dyDescent="0.25">
      <c r="A474" s="316"/>
      <c r="B474" s="228" t="s">
        <v>601</v>
      </c>
      <c r="C474" s="224"/>
      <c r="D474" s="224"/>
      <c r="E474" s="224"/>
      <c r="F474" s="224"/>
      <c r="G474" s="224"/>
      <c r="H474" s="224"/>
      <c r="I474" s="197"/>
      <c r="J474" s="197"/>
      <c r="K474" s="633"/>
      <c r="L474" s="210"/>
      <c r="M474" s="311"/>
      <c r="N474" s="899"/>
      <c r="O474" s="903"/>
    </row>
    <row r="475" spans="1:15" ht="18" customHeight="1" x14ac:dyDescent="0.25">
      <c r="A475" s="316"/>
      <c r="B475" s="291" t="s">
        <v>595</v>
      </c>
      <c r="C475" s="231"/>
      <c r="D475" s="224"/>
      <c r="E475" s="317"/>
      <c r="F475" s="224"/>
      <c r="G475" s="224"/>
      <c r="H475" s="224"/>
      <c r="I475" s="197"/>
      <c r="J475" s="197"/>
      <c r="K475" s="633"/>
      <c r="L475" s="210"/>
      <c r="M475" s="311"/>
      <c r="N475" s="899"/>
      <c r="O475" s="903"/>
    </row>
    <row r="476" spans="1:15" ht="18" customHeight="1" x14ac:dyDescent="0.25">
      <c r="A476" s="878" t="s">
        <v>2180</v>
      </c>
      <c r="B476" s="276" t="s">
        <v>602</v>
      </c>
      <c r="C476" s="224"/>
      <c r="D476" s="224"/>
      <c r="E476" s="224"/>
      <c r="F476" s="224"/>
      <c r="G476" s="224"/>
      <c r="H476" s="224"/>
      <c r="I476" s="197"/>
      <c r="J476" s="274">
        <v>9475790.5787415244</v>
      </c>
      <c r="K476" s="633"/>
      <c r="L476" s="275"/>
      <c r="M476" s="311"/>
      <c r="N476" s="899"/>
      <c r="O476" s="903"/>
    </row>
    <row r="477" spans="1:15" ht="18" customHeight="1" x14ac:dyDescent="0.25">
      <c r="A477" s="316"/>
      <c r="B477" s="223" t="s">
        <v>603</v>
      </c>
      <c r="C477" s="199"/>
      <c r="D477" s="184"/>
      <c r="E477" s="294"/>
      <c r="F477" s="188"/>
      <c r="G477" s="285"/>
      <c r="H477" s="318"/>
      <c r="I477" s="200"/>
      <c r="J477" s="200">
        <f>SUM(J476)</f>
        <v>9475790.5787415244</v>
      </c>
      <c r="K477" s="633"/>
      <c r="L477" s="300"/>
      <c r="M477" s="311"/>
      <c r="N477" s="899"/>
      <c r="O477" s="903"/>
    </row>
    <row r="478" spans="1:15" ht="42" customHeight="1" x14ac:dyDescent="0.25">
      <c r="A478" s="650"/>
      <c r="B478" s="651">
        <v>25</v>
      </c>
      <c r="C478" s="219"/>
      <c r="D478" s="220"/>
      <c r="E478" s="655"/>
      <c r="F478" s="221"/>
      <c r="G478" s="661"/>
      <c r="H478" s="656"/>
      <c r="I478" s="222"/>
      <c r="J478" s="222"/>
      <c r="K478" s="633"/>
      <c r="L478" s="300"/>
      <c r="M478" s="311"/>
      <c r="N478" s="899"/>
      <c r="O478" s="903"/>
    </row>
    <row r="479" spans="1:15" ht="18" customHeight="1" x14ac:dyDescent="0.25">
      <c r="A479" s="316"/>
      <c r="B479" s="223" t="s">
        <v>604</v>
      </c>
      <c r="C479" s="224"/>
      <c r="D479" s="224"/>
      <c r="E479" s="317"/>
      <c r="F479" s="224"/>
      <c r="G479" s="224"/>
      <c r="H479" s="224"/>
      <c r="I479" s="197"/>
      <c r="J479" s="197"/>
      <c r="K479" s="633"/>
      <c r="L479" s="210"/>
      <c r="M479" s="311"/>
      <c r="N479" s="899"/>
      <c r="O479" s="903"/>
    </row>
    <row r="480" spans="1:15" ht="18" customHeight="1" x14ac:dyDescent="0.25">
      <c r="A480" s="316"/>
      <c r="B480" s="223" t="s">
        <v>458</v>
      </c>
      <c r="C480" s="316"/>
      <c r="D480" s="224"/>
      <c r="E480" s="317"/>
      <c r="F480" s="224"/>
      <c r="G480" s="224"/>
      <c r="H480" s="224"/>
      <c r="I480" s="197"/>
      <c r="J480" s="197"/>
      <c r="K480" s="633"/>
      <c r="L480" s="210"/>
      <c r="M480" s="311"/>
      <c r="N480" s="899"/>
      <c r="O480" s="903"/>
    </row>
    <row r="481" spans="1:15" ht="18" customHeight="1" x14ac:dyDescent="0.25">
      <c r="A481" s="878" t="s">
        <v>2181</v>
      </c>
      <c r="B481" s="265" t="s">
        <v>129</v>
      </c>
      <c r="C481" s="234" t="s">
        <v>91</v>
      </c>
      <c r="D481" s="188" t="s">
        <v>92</v>
      </c>
      <c r="E481" s="294" t="s">
        <v>460</v>
      </c>
      <c r="F481" s="295" t="s">
        <v>605</v>
      </c>
      <c r="G481" s="285">
        <v>70454</v>
      </c>
      <c r="H481" s="318" t="s">
        <v>109</v>
      </c>
      <c r="I481" s="319">
        <v>35358</v>
      </c>
      <c r="J481" s="200"/>
      <c r="K481" s="633"/>
      <c r="L481" s="222"/>
      <c r="M481" s="311"/>
      <c r="N481" s="899"/>
      <c r="O481" s="903"/>
    </row>
    <row r="482" spans="1:15" ht="18" customHeight="1" x14ac:dyDescent="0.25">
      <c r="A482" s="681"/>
      <c r="B482" s="888" t="s">
        <v>606</v>
      </c>
      <c r="C482" s="230"/>
      <c r="D482" s="279"/>
      <c r="E482" s="649"/>
      <c r="F482" s="224"/>
      <c r="G482" s="675"/>
      <c r="H482" s="676"/>
      <c r="I482" s="206"/>
      <c r="J482" s="286">
        <f>SUM(J481)</f>
        <v>0</v>
      </c>
      <c r="K482" s="633"/>
      <c r="L482" s="320"/>
      <c r="M482" s="311"/>
      <c r="N482" s="899"/>
      <c r="O482" s="903"/>
    </row>
    <row r="483" spans="1:15" ht="18" customHeight="1" x14ac:dyDescent="0.25">
      <c r="A483" s="317"/>
      <c r="B483" s="223" t="s">
        <v>607</v>
      </c>
      <c r="C483" s="317"/>
      <c r="D483" s="317"/>
      <c r="E483" s="317"/>
      <c r="F483" s="317"/>
      <c r="G483" s="317"/>
      <c r="H483" s="317"/>
      <c r="I483" s="317"/>
      <c r="J483" s="317"/>
      <c r="K483" s="633"/>
      <c r="L483" s="942"/>
      <c r="M483" s="311"/>
      <c r="N483" s="899"/>
      <c r="O483" s="903"/>
    </row>
    <row r="484" spans="1:15" ht="18" customHeight="1" x14ac:dyDescent="0.25">
      <c r="A484" s="316"/>
      <c r="B484" s="223" t="s">
        <v>608</v>
      </c>
      <c r="C484" s="294"/>
      <c r="D484" s="224"/>
      <c r="E484" s="224" t="s">
        <v>609</v>
      </c>
      <c r="F484" s="224"/>
      <c r="G484" s="224"/>
      <c r="H484" s="224"/>
      <c r="I484" s="197"/>
      <c r="J484" s="277"/>
      <c r="K484" s="633"/>
      <c r="L484" s="278"/>
      <c r="M484" s="311"/>
      <c r="N484" s="899"/>
      <c r="O484" s="903"/>
    </row>
    <row r="485" spans="1:15" ht="18" customHeight="1" x14ac:dyDescent="0.25">
      <c r="A485" s="316"/>
      <c r="B485" s="276" t="s">
        <v>610</v>
      </c>
      <c r="C485" s="224"/>
      <c r="D485" s="224"/>
      <c r="E485" s="224"/>
      <c r="F485" s="224"/>
      <c r="G485" s="224"/>
      <c r="H485" s="224"/>
      <c r="I485" s="197"/>
      <c r="J485" s="277"/>
      <c r="K485" s="633"/>
      <c r="L485" s="321"/>
      <c r="M485" s="311"/>
      <c r="N485" s="899"/>
      <c r="O485" s="903"/>
    </row>
    <row r="486" spans="1:15" ht="18" customHeight="1" x14ac:dyDescent="0.25">
      <c r="A486" s="316"/>
      <c r="B486" s="276" t="s">
        <v>611</v>
      </c>
      <c r="C486" s="224"/>
      <c r="D486" s="224"/>
      <c r="E486" s="224"/>
      <c r="F486" s="224"/>
      <c r="G486" s="224"/>
      <c r="H486" s="322"/>
      <c r="I486" s="197"/>
      <c r="J486" s="277"/>
      <c r="K486" s="633"/>
      <c r="L486" s="321"/>
      <c r="M486" s="311"/>
      <c r="N486" s="899"/>
      <c r="O486" s="903"/>
    </row>
    <row r="487" spans="1:15" ht="18" customHeight="1" x14ac:dyDescent="0.25">
      <c r="A487" s="316"/>
      <c r="B487" s="276" t="s">
        <v>612</v>
      </c>
      <c r="C487" s="224"/>
      <c r="D487" s="224"/>
      <c r="E487" s="224"/>
      <c r="F487" s="224"/>
      <c r="G487" s="224"/>
      <c r="H487" s="224"/>
      <c r="I487" s="197"/>
      <c r="J487" s="277"/>
      <c r="K487" s="633"/>
      <c r="L487" s="321"/>
      <c r="M487" s="311"/>
      <c r="N487" s="899"/>
      <c r="O487" s="903"/>
    </row>
    <row r="488" spans="1:15" ht="18" customHeight="1" x14ac:dyDescent="0.25">
      <c r="A488" s="316"/>
      <c r="B488" s="276" t="s">
        <v>613</v>
      </c>
      <c r="C488" s="224"/>
      <c r="D488" s="224"/>
      <c r="E488" s="224"/>
      <c r="F488" s="224"/>
      <c r="G488" s="224"/>
      <c r="H488" s="224"/>
      <c r="I488" s="197"/>
      <c r="J488" s="277"/>
      <c r="K488" s="633"/>
      <c r="L488" s="321"/>
      <c r="M488" s="311"/>
      <c r="N488" s="899"/>
      <c r="O488" s="903"/>
    </row>
    <row r="489" spans="1:15" ht="18" customHeight="1" x14ac:dyDescent="0.25">
      <c r="A489" s="316"/>
      <c r="B489" s="888" t="s">
        <v>117</v>
      </c>
      <c r="C489" s="224"/>
      <c r="D489" s="224"/>
      <c r="E489" s="224"/>
      <c r="F489" s="224"/>
      <c r="G489" s="224"/>
      <c r="H489" s="224"/>
      <c r="I489" s="197"/>
      <c r="J489" s="305">
        <f>SUM(J485:J488)</f>
        <v>0</v>
      </c>
      <c r="K489" s="633"/>
      <c r="L489" s="323"/>
      <c r="M489" s="311"/>
      <c r="N489" s="899"/>
      <c r="O489" s="903"/>
    </row>
    <row r="490" spans="1:15" ht="18" customHeight="1" x14ac:dyDescent="0.25">
      <c r="A490" s="316"/>
      <c r="B490" s="228" t="s">
        <v>565</v>
      </c>
      <c r="C490" s="316"/>
      <c r="D490" s="224"/>
      <c r="E490" s="316"/>
      <c r="F490" s="224"/>
      <c r="G490" s="224"/>
      <c r="H490" s="224"/>
      <c r="I490" s="197"/>
      <c r="J490" s="197"/>
      <c r="K490" s="633"/>
      <c r="L490" s="210"/>
      <c r="M490" s="311"/>
      <c r="N490" s="899"/>
      <c r="O490" s="903"/>
    </row>
    <row r="491" spans="1:15" ht="18" customHeight="1" x14ac:dyDescent="0.25">
      <c r="A491" s="891">
        <v>12021102</v>
      </c>
      <c r="B491" s="198" t="s">
        <v>614</v>
      </c>
      <c r="C491" s="199" t="s">
        <v>91</v>
      </c>
      <c r="D491" s="184" t="s">
        <v>92</v>
      </c>
      <c r="E491" s="294" t="s">
        <v>537</v>
      </c>
      <c r="F491" s="188" t="s">
        <v>615</v>
      </c>
      <c r="G491" s="294" t="s">
        <v>420</v>
      </c>
      <c r="H491" s="318" t="s">
        <v>109</v>
      </c>
      <c r="I491" s="200">
        <v>22312</v>
      </c>
      <c r="J491" s="200"/>
      <c r="K491" s="633"/>
      <c r="L491" s="222"/>
      <c r="M491" s="311"/>
      <c r="N491" s="899"/>
      <c r="O491" s="903"/>
    </row>
    <row r="492" spans="1:15" ht="18" customHeight="1" x14ac:dyDescent="0.25">
      <c r="A492" s="891">
        <v>12021102</v>
      </c>
      <c r="B492" s="198" t="s">
        <v>616</v>
      </c>
      <c r="C492" s="199" t="s">
        <v>91</v>
      </c>
      <c r="D492" s="184" t="s">
        <v>92</v>
      </c>
      <c r="E492" s="294" t="s">
        <v>537</v>
      </c>
      <c r="F492" s="188" t="s">
        <v>615</v>
      </c>
      <c r="G492" s="294" t="s">
        <v>420</v>
      </c>
      <c r="H492" s="318" t="s">
        <v>109</v>
      </c>
      <c r="I492" s="200">
        <v>8530576</v>
      </c>
      <c r="J492" s="216">
        <v>12843796.494106397</v>
      </c>
      <c r="K492" s="633"/>
      <c r="L492" s="315"/>
      <c r="M492" s="311"/>
      <c r="N492" s="899"/>
      <c r="O492" s="903"/>
    </row>
    <row r="493" spans="1:15" ht="18" customHeight="1" x14ac:dyDescent="0.25">
      <c r="A493" s="891">
        <v>12021102</v>
      </c>
      <c r="B493" s="198" t="s">
        <v>617</v>
      </c>
      <c r="C493" s="199" t="s">
        <v>91</v>
      </c>
      <c r="D493" s="184" t="s">
        <v>92</v>
      </c>
      <c r="E493" s="294" t="s">
        <v>537</v>
      </c>
      <c r="F493" s="188" t="s">
        <v>615</v>
      </c>
      <c r="G493" s="294" t="s">
        <v>420</v>
      </c>
      <c r="H493" s="318" t="s">
        <v>109</v>
      </c>
      <c r="I493" s="200">
        <v>21434566</v>
      </c>
      <c r="J493" s="216">
        <v>453143.16397664184</v>
      </c>
      <c r="K493" s="633"/>
      <c r="L493" s="315"/>
      <c r="M493" s="311"/>
      <c r="N493" s="899"/>
      <c r="O493" s="903"/>
    </row>
    <row r="494" spans="1:15" ht="18" customHeight="1" x14ac:dyDescent="0.25">
      <c r="A494" s="891">
        <v>12021102</v>
      </c>
      <c r="B494" s="198" t="s">
        <v>618</v>
      </c>
      <c r="C494" s="199" t="s">
        <v>91</v>
      </c>
      <c r="D494" s="184" t="s">
        <v>92</v>
      </c>
      <c r="E494" s="294" t="s">
        <v>537</v>
      </c>
      <c r="F494" s="188" t="s">
        <v>615</v>
      </c>
      <c r="G494" s="294" t="s">
        <v>420</v>
      </c>
      <c r="H494" s="318" t="s">
        <v>109</v>
      </c>
      <c r="I494" s="200">
        <v>240472</v>
      </c>
      <c r="J494" s="324">
        <v>0</v>
      </c>
      <c r="K494" s="633"/>
      <c r="L494" s="325"/>
      <c r="M494" s="311"/>
      <c r="N494" s="899"/>
      <c r="O494" s="903"/>
    </row>
    <row r="495" spans="1:15" ht="18" customHeight="1" x14ac:dyDescent="0.25">
      <c r="A495" s="891">
        <v>12021102</v>
      </c>
      <c r="B495" s="198" t="s">
        <v>619</v>
      </c>
      <c r="C495" s="199" t="s">
        <v>91</v>
      </c>
      <c r="D495" s="184" t="s">
        <v>92</v>
      </c>
      <c r="E495" s="294" t="s">
        <v>537</v>
      </c>
      <c r="F495" s="188" t="s">
        <v>615</v>
      </c>
      <c r="G495" s="294" t="s">
        <v>420</v>
      </c>
      <c r="H495" s="318" t="s">
        <v>109</v>
      </c>
      <c r="I495" s="200">
        <v>65812</v>
      </c>
      <c r="J495" s="216">
        <v>394824.61074807507</v>
      </c>
      <c r="K495" s="633"/>
      <c r="L495" s="315"/>
      <c r="M495" s="311"/>
      <c r="N495" s="899"/>
      <c r="O495" s="903"/>
    </row>
    <row r="496" spans="1:15" ht="18" customHeight="1" x14ac:dyDescent="0.25">
      <c r="A496" s="891">
        <v>12021102</v>
      </c>
      <c r="B496" s="198" t="s">
        <v>620</v>
      </c>
      <c r="C496" s="199" t="s">
        <v>91</v>
      </c>
      <c r="D496" s="184" t="s">
        <v>92</v>
      </c>
      <c r="E496" s="294" t="s">
        <v>537</v>
      </c>
      <c r="F496" s="188" t="s">
        <v>615</v>
      </c>
      <c r="G496" s="294" t="s">
        <v>420</v>
      </c>
      <c r="H496" s="318" t="s">
        <v>109</v>
      </c>
      <c r="I496" s="200">
        <v>18737667</v>
      </c>
      <c r="J496" s="200"/>
      <c r="K496" s="633"/>
      <c r="L496" s="325"/>
      <c r="M496" s="311"/>
      <c r="N496" s="899"/>
      <c r="O496" s="903"/>
    </row>
    <row r="497" spans="1:15" ht="18" customHeight="1" x14ac:dyDescent="0.25">
      <c r="A497" s="891">
        <v>12021102</v>
      </c>
      <c r="B497" s="198" t="s">
        <v>621</v>
      </c>
      <c r="C497" s="199" t="s">
        <v>91</v>
      </c>
      <c r="D497" s="184" t="s">
        <v>92</v>
      </c>
      <c r="E497" s="294" t="s">
        <v>537</v>
      </c>
      <c r="F497" s="188" t="s">
        <v>615</v>
      </c>
      <c r="G497" s="294" t="s">
        <v>420</v>
      </c>
      <c r="H497" s="318" t="s">
        <v>109</v>
      </c>
      <c r="I497" s="200">
        <v>1500000</v>
      </c>
      <c r="J497" s="200"/>
      <c r="K497" s="633"/>
      <c r="L497" s="325"/>
      <c r="M497" s="311"/>
      <c r="N497" s="899"/>
      <c r="O497" s="903"/>
    </row>
    <row r="498" spans="1:15" ht="18" customHeight="1" x14ac:dyDescent="0.25">
      <c r="A498" s="891">
        <v>12021102</v>
      </c>
      <c r="B498" s="198" t="s">
        <v>622</v>
      </c>
      <c r="C498" s="199" t="s">
        <v>91</v>
      </c>
      <c r="D498" s="184" t="s">
        <v>92</v>
      </c>
      <c r="E498" s="294" t="s">
        <v>537</v>
      </c>
      <c r="F498" s="188" t="s">
        <v>615</v>
      </c>
      <c r="G498" s="294" t="s">
        <v>420</v>
      </c>
      <c r="H498" s="318" t="s">
        <v>109</v>
      </c>
      <c r="I498" s="200">
        <v>123444</v>
      </c>
      <c r="J498" s="200"/>
      <c r="K498" s="633"/>
      <c r="L498" s="325"/>
      <c r="M498" s="311"/>
      <c r="N498" s="899"/>
      <c r="O498" s="903"/>
    </row>
    <row r="499" spans="1:15" ht="18" customHeight="1" x14ac:dyDescent="0.25">
      <c r="A499" s="891">
        <v>12021102</v>
      </c>
      <c r="B499" s="198" t="s">
        <v>623</v>
      </c>
      <c r="C499" s="199" t="s">
        <v>91</v>
      </c>
      <c r="D499" s="184" t="s">
        <v>92</v>
      </c>
      <c r="E499" s="294" t="s">
        <v>537</v>
      </c>
      <c r="F499" s="188" t="s">
        <v>615</v>
      </c>
      <c r="G499" s="294" t="s">
        <v>420</v>
      </c>
      <c r="H499" s="318" t="s">
        <v>109</v>
      </c>
      <c r="I499" s="200">
        <v>247386</v>
      </c>
      <c r="J499" s="200"/>
      <c r="K499" s="633"/>
      <c r="L499" s="325"/>
      <c r="M499" s="311"/>
      <c r="N499" s="899"/>
      <c r="O499" s="903"/>
    </row>
    <row r="500" spans="1:15" ht="18" customHeight="1" x14ac:dyDescent="0.25">
      <c r="A500" s="891">
        <v>12021102</v>
      </c>
      <c r="B500" s="198" t="s">
        <v>624</v>
      </c>
      <c r="C500" s="199" t="s">
        <v>91</v>
      </c>
      <c r="D500" s="184" t="s">
        <v>92</v>
      </c>
      <c r="E500" s="294" t="s">
        <v>537</v>
      </c>
      <c r="F500" s="188" t="s">
        <v>615</v>
      </c>
      <c r="G500" s="294" t="s">
        <v>420</v>
      </c>
      <c r="H500" s="318" t="s">
        <v>109</v>
      </c>
      <c r="I500" s="200">
        <v>1550934</v>
      </c>
      <c r="J500" s="200"/>
      <c r="K500" s="633"/>
      <c r="L500" s="325"/>
      <c r="M500" s="311"/>
      <c r="N500" s="899"/>
      <c r="O500" s="903"/>
    </row>
    <row r="501" spans="1:15" ht="18" customHeight="1" x14ac:dyDescent="0.25">
      <c r="A501" s="891">
        <v>12021102</v>
      </c>
      <c r="B501" s="198" t="s">
        <v>625</v>
      </c>
      <c r="C501" s="199" t="s">
        <v>91</v>
      </c>
      <c r="D501" s="184" t="s">
        <v>92</v>
      </c>
      <c r="E501" s="294" t="s">
        <v>537</v>
      </c>
      <c r="F501" s="188" t="s">
        <v>615</v>
      </c>
      <c r="G501" s="294" t="s">
        <v>420</v>
      </c>
      <c r="H501" s="318" t="s">
        <v>109</v>
      </c>
      <c r="I501" s="200">
        <v>144028</v>
      </c>
      <c r="J501" s="200"/>
      <c r="K501" s="633"/>
      <c r="L501" s="325"/>
      <c r="M501" s="311"/>
      <c r="N501" s="899"/>
      <c r="O501" s="903"/>
    </row>
    <row r="502" spans="1:15" ht="18" customHeight="1" x14ac:dyDescent="0.25">
      <c r="A502" s="891">
        <v>12021102</v>
      </c>
      <c r="B502" s="198" t="s">
        <v>626</v>
      </c>
      <c r="C502" s="199" t="s">
        <v>91</v>
      </c>
      <c r="D502" s="184" t="s">
        <v>92</v>
      </c>
      <c r="E502" s="294" t="s">
        <v>537</v>
      </c>
      <c r="F502" s="188" t="s">
        <v>615</v>
      </c>
      <c r="G502" s="294" t="s">
        <v>420</v>
      </c>
      <c r="H502" s="318" t="s">
        <v>109</v>
      </c>
      <c r="I502" s="200">
        <v>39339</v>
      </c>
      <c r="J502" s="200"/>
      <c r="K502" s="633"/>
      <c r="L502" s="325"/>
      <c r="M502" s="311"/>
      <c r="N502" s="899"/>
      <c r="O502" s="903"/>
    </row>
    <row r="503" spans="1:15" ht="18" customHeight="1" x14ac:dyDescent="0.25">
      <c r="A503" s="891">
        <v>12021102</v>
      </c>
      <c r="B503" s="198" t="s">
        <v>627</v>
      </c>
      <c r="C503" s="199" t="s">
        <v>91</v>
      </c>
      <c r="D503" s="184" t="s">
        <v>92</v>
      </c>
      <c r="E503" s="294" t="s">
        <v>537</v>
      </c>
      <c r="F503" s="188" t="s">
        <v>615</v>
      </c>
      <c r="G503" s="294" t="s">
        <v>420</v>
      </c>
      <c r="H503" s="318" t="s">
        <v>109</v>
      </c>
      <c r="I503" s="200">
        <v>44035</v>
      </c>
      <c r="J503" s="200"/>
      <c r="K503" s="633"/>
      <c r="L503" s="325"/>
      <c r="M503" s="311"/>
      <c r="N503" s="899"/>
      <c r="O503" s="903"/>
    </row>
    <row r="504" spans="1:15" ht="18" customHeight="1" x14ac:dyDescent="0.25">
      <c r="A504" s="891">
        <v>12021102</v>
      </c>
      <c r="B504" s="198" t="s">
        <v>628</v>
      </c>
      <c r="C504" s="199" t="s">
        <v>91</v>
      </c>
      <c r="D504" s="184" t="s">
        <v>92</v>
      </c>
      <c r="E504" s="294" t="s">
        <v>537</v>
      </c>
      <c r="F504" s="188" t="s">
        <v>615</v>
      </c>
      <c r="G504" s="294" t="s">
        <v>420</v>
      </c>
      <c r="H504" s="318" t="s">
        <v>109</v>
      </c>
      <c r="I504" s="200">
        <v>25987</v>
      </c>
      <c r="J504" s="200"/>
      <c r="K504" s="633"/>
      <c r="L504" s="325"/>
      <c r="M504" s="311"/>
      <c r="N504" s="899"/>
      <c r="O504" s="903"/>
    </row>
    <row r="505" spans="1:15" ht="18" customHeight="1" x14ac:dyDescent="0.25">
      <c r="A505" s="891">
        <v>12021102</v>
      </c>
      <c r="B505" s="198" t="s">
        <v>629</v>
      </c>
      <c r="C505" s="199" t="s">
        <v>91</v>
      </c>
      <c r="D505" s="184" t="s">
        <v>92</v>
      </c>
      <c r="E505" s="294" t="s">
        <v>537</v>
      </c>
      <c r="F505" s="188" t="s">
        <v>615</v>
      </c>
      <c r="G505" s="294" t="s">
        <v>420</v>
      </c>
      <c r="H505" s="318" t="s">
        <v>109</v>
      </c>
      <c r="I505" s="200">
        <v>18000000</v>
      </c>
      <c r="J505" s="200"/>
      <c r="K505" s="633"/>
      <c r="L505" s="325"/>
      <c r="M505" s="311"/>
      <c r="N505" s="899"/>
      <c r="O505" s="903"/>
    </row>
    <row r="506" spans="1:15" ht="18" customHeight="1" x14ac:dyDescent="0.25">
      <c r="A506" s="891">
        <v>12021102</v>
      </c>
      <c r="B506" s="198" t="s">
        <v>630</v>
      </c>
      <c r="C506" s="199" t="s">
        <v>91</v>
      </c>
      <c r="D506" s="184" t="s">
        <v>92</v>
      </c>
      <c r="E506" s="294" t="s">
        <v>537</v>
      </c>
      <c r="F506" s="188" t="s">
        <v>615</v>
      </c>
      <c r="G506" s="294" t="s">
        <v>420</v>
      </c>
      <c r="H506" s="318" t="s">
        <v>109</v>
      </c>
      <c r="I506" s="200">
        <v>13120000</v>
      </c>
      <c r="J506" s="200"/>
      <c r="K506" s="633"/>
      <c r="L506" s="325"/>
      <c r="M506" s="311"/>
      <c r="N506" s="899"/>
      <c r="O506" s="903"/>
    </row>
    <row r="507" spans="1:15" ht="18" customHeight="1" x14ac:dyDescent="0.25">
      <c r="A507" s="891">
        <v>12021102</v>
      </c>
      <c r="B507" s="198" t="s">
        <v>631</v>
      </c>
      <c r="C507" s="199" t="s">
        <v>91</v>
      </c>
      <c r="D507" s="184" t="s">
        <v>92</v>
      </c>
      <c r="E507" s="294" t="s">
        <v>537</v>
      </c>
      <c r="F507" s="188" t="s">
        <v>615</v>
      </c>
      <c r="G507" s="294" t="s">
        <v>420</v>
      </c>
      <c r="H507" s="318" t="s">
        <v>109</v>
      </c>
      <c r="I507" s="200">
        <v>1000000</v>
      </c>
      <c r="J507" s="200"/>
      <c r="K507" s="633"/>
      <c r="L507" s="325"/>
      <c r="M507" s="311"/>
      <c r="N507" s="899"/>
      <c r="O507" s="903"/>
    </row>
    <row r="508" spans="1:15" ht="18" customHeight="1" x14ac:dyDescent="0.25">
      <c r="A508" s="891">
        <v>12021102</v>
      </c>
      <c r="B508" s="198" t="s">
        <v>632</v>
      </c>
      <c r="C508" s="199" t="s">
        <v>91</v>
      </c>
      <c r="D508" s="184" t="s">
        <v>92</v>
      </c>
      <c r="E508" s="294" t="s">
        <v>537</v>
      </c>
      <c r="F508" s="188" t="s">
        <v>615</v>
      </c>
      <c r="G508" s="294" t="s">
        <v>420</v>
      </c>
      <c r="H508" s="318" t="s">
        <v>109</v>
      </c>
      <c r="I508" s="200">
        <v>79300000</v>
      </c>
      <c r="J508" s="200"/>
      <c r="K508" s="633"/>
      <c r="L508" s="325"/>
      <c r="M508" s="311"/>
      <c r="N508" s="899"/>
      <c r="O508" s="903"/>
    </row>
    <row r="509" spans="1:15" ht="42" customHeight="1" x14ac:dyDescent="0.25">
      <c r="A509" s="650"/>
      <c r="B509" s="651">
        <v>26</v>
      </c>
      <c r="C509" s="219"/>
      <c r="D509" s="220"/>
      <c r="E509" s="655"/>
      <c r="F509" s="221"/>
      <c r="G509" s="655"/>
      <c r="H509" s="656"/>
      <c r="I509" s="222"/>
      <c r="J509" s="222"/>
      <c r="K509" s="633"/>
      <c r="L509" s="325"/>
      <c r="M509" s="311"/>
      <c r="N509" s="899"/>
      <c r="O509" s="903"/>
    </row>
    <row r="510" spans="1:15" ht="18" customHeight="1" x14ac:dyDescent="0.25">
      <c r="A510" s="316"/>
      <c r="B510" s="888" t="s">
        <v>633</v>
      </c>
      <c r="C510" s="199"/>
      <c r="D510" s="184"/>
      <c r="E510" s="294"/>
      <c r="F510" s="188"/>
      <c r="G510" s="294"/>
      <c r="H510" s="318"/>
      <c r="I510" s="200"/>
      <c r="J510" s="200"/>
      <c r="K510" s="633"/>
      <c r="L510" s="325"/>
      <c r="M510" s="311"/>
      <c r="N510" s="899"/>
      <c r="O510" s="903"/>
    </row>
    <row r="511" spans="1:15" ht="18" customHeight="1" x14ac:dyDescent="0.25">
      <c r="A511" s="891">
        <v>12021102</v>
      </c>
      <c r="B511" s="198" t="s">
        <v>634</v>
      </c>
      <c r="C511" s="199" t="s">
        <v>91</v>
      </c>
      <c r="D511" s="184" t="s">
        <v>92</v>
      </c>
      <c r="E511" s="294" t="s">
        <v>537</v>
      </c>
      <c r="F511" s="188" t="s">
        <v>615</v>
      </c>
      <c r="G511" s="294" t="s">
        <v>420</v>
      </c>
      <c r="H511" s="318" t="s">
        <v>109</v>
      </c>
      <c r="I511" s="200">
        <v>275000</v>
      </c>
      <c r="J511" s="200"/>
      <c r="K511" s="633"/>
      <c r="L511" s="325"/>
      <c r="M511" s="311"/>
      <c r="N511" s="899"/>
      <c r="O511" s="903"/>
    </row>
    <row r="512" spans="1:15" ht="18" customHeight="1" x14ac:dyDescent="0.25">
      <c r="A512" s="891">
        <v>12021102</v>
      </c>
      <c r="B512" s="198" t="s">
        <v>635</v>
      </c>
      <c r="C512" s="199" t="s">
        <v>91</v>
      </c>
      <c r="D512" s="184" t="s">
        <v>92</v>
      </c>
      <c r="E512" s="294" t="s">
        <v>537</v>
      </c>
      <c r="F512" s="188" t="s">
        <v>615</v>
      </c>
      <c r="G512" s="294" t="s">
        <v>420</v>
      </c>
      <c r="H512" s="318" t="s">
        <v>109</v>
      </c>
      <c r="I512" s="200">
        <v>801874</v>
      </c>
      <c r="J512" s="216">
        <v>9870615.1795880646</v>
      </c>
      <c r="K512" s="633"/>
      <c r="L512" s="326"/>
      <c r="M512" s="311"/>
      <c r="N512" s="899"/>
      <c r="O512" s="903"/>
    </row>
    <row r="513" spans="1:15" ht="18" customHeight="1" x14ac:dyDescent="0.25">
      <c r="A513" s="891">
        <v>12021102</v>
      </c>
      <c r="B513" s="198" t="s">
        <v>636</v>
      </c>
      <c r="C513" s="199" t="s">
        <v>91</v>
      </c>
      <c r="D513" s="184" t="s">
        <v>92</v>
      </c>
      <c r="E513" s="294" t="s">
        <v>537</v>
      </c>
      <c r="F513" s="188" t="s">
        <v>615</v>
      </c>
      <c r="G513" s="294" t="s">
        <v>420</v>
      </c>
      <c r="H513" s="318" t="s">
        <v>109</v>
      </c>
      <c r="I513" s="200">
        <v>500000</v>
      </c>
      <c r="J513" s="216">
        <v>9870615.1894895993</v>
      </c>
      <c r="K513" s="633"/>
      <c r="L513" s="326"/>
      <c r="M513" s="311"/>
      <c r="N513" s="899"/>
      <c r="O513" s="903"/>
    </row>
    <row r="514" spans="1:15" ht="18" customHeight="1" x14ac:dyDescent="0.25">
      <c r="A514" s="891">
        <v>12021102</v>
      </c>
      <c r="B514" s="198" t="s">
        <v>637</v>
      </c>
      <c r="C514" s="199" t="s">
        <v>91</v>
      </c>
      <c r="D514" s="184" t="s">
        <v>92</v>
      </c>
      <c r="E514" s="294" t="s">
        <v>537</v>
      </c>
      <c r="F514" s="188" t="s">
        <v>615</v>
      </c>
      <c r="G514" s="294" t="s">
        <v>420</v>
      </c>
      <c r="H514" s="318" t="s">
        <v>109</v>
      </c>
      <c r="I514" s="200">
        <v>5000000</v>
      </c>
      <c r="J514" s="200"/>
      <c r="K514" s="633"/>
      <c r="L514" s="325"/>
      <c r="M514" s="311"/>
      <c r="N514" s="899"/>
      <c r="O514" s="903"/>
    </row>
    <row r="515" spans="1:15" ht="18" customHeight="1" x14ac:dyDescent="0.25">
      <c r="A515" s="891">
        <v>12021102</v>
      </c>
      <c r="B515" s="198" t="s">
        <v>638</v>
      </c>
      <c r="C515" s="199" t="s">
        <v>91</v>
      </c>
      <c r="D515" s="184" t="s">
        <v>92</v>
      </c>
      <c r="E515" s="294" t="s">
        <v>537</v>
      </c>
      <c r="F515" s="188" t="s">
        <v>615</v>
      </c>
      <c r="G515" s="294" t="s">
        <v>420</v>
      </c>
      <c r="H515" s="318" t="s">
        <v>109</v>
      </c>
      <c r="I515" s="200">
        <v>5741</v>
      </c>
      <c r="J515" s="200"/>
      <c r="K515" s="633"/>
      <c r="L515" s="325"/>
      <c r="M515" s="311"/>
      <c r="N515" s="899"/>
      <c r="O515" s="903"/>
    </row>
    <row r="516" spans="1:15" ht="18" customHeight="1" x14ac:dyDescent="0.25">
      <c r="A516" s="316"/>
      <c r="B516" s="888" t="s">
        <v>117</v>
      </c>
      <c r="C516" s="235"/>
      <c r="D516" s="231"/>
      <c r="E516" s="225"/>
      <c r="F516" s="231"/>
      <c r="G516" s="231"/>
      <c r="H516" s="231"/>
      <c r="I516" s="327"/>
      <c r="J516" s="327">
        <f>SUM(J491:J515)</f>
        <v>33432994.637908775</v>
      </c>
      <c r="K516" s="633"/>
      <c r="L516" s="268"/>
      <c r="M516" s="311"/>
      <c r="N516" s="899"/>
      <c r="O516" s="903"/>
    </row>
    <row r="517" spans="1:15" ht="18" customHeight="1" x14ac:dyDescent="0.25">
      <c r="A517" s="681"/>
      <c r="B517" s="888" t="s">
        <v>639</v>
      </c>
      <c r="C517" s="230"/>
      <c r="D517" s="279"/>
      <c r="E517" s="649"/>
      <c r="F517" s="224"/>
      <c r="G517" s="675"/>
      <c r="H517" s="676"/>
      <c r="I517" s="206"/>
      <c r="J517" s="206">
        <f>SUM(J489,J516)</f>
        <v>33432994.637908775</v>
      </c>
      <c r="K517" s="633"/>
      <c r="L517" s="300"/>
      <c r="M517" s="311"/>
      <c r="N517" s="899"/>
      <c r="O517" s="903"/>
    </row>
    <row r="518" spans="1:15" ht="18" customHeight="1" x14ac:dyDescent="0.25">
      <c r="A518" s="316"/>
      <c r="B518" s="228" t="s">
        <v>640</v>
      </c>
      <c r="C518" s="317"/>
      <c r="D518" s="224"/>
      <c r="E518" s="224"/>
      <c r="F518" s="224"/>
      <c r="G518" s="224"/>
      <c r="H518" s="224"/>
      <c r="I518" s="197"/>
      <c r="J518" s="197"/>
      <c r="K518" s="633"/>
      <c r="L518" s="210"/>
      <c r="M518" s="311"/>
      <c r="N518" s="899"/>
      <c r="O518" s="903"/>
    </row>
    <row r="519" spans="1:15" s="270" customFormat="1" ht="18" customHeight="1" x14ac:dyDescent="0.25">
      <c r="A519" s="316"/>
      <c r="B519" s="228" t="s">
        <v>187</v>
      </c>
      <c r="C519" s="685"/>
      <c r="D519" s="224"/>
      <c r="E519" s="317"/>
      <c r="F519" s="224"/>
      <c r="G519" s="224"/>
      <c r="H519" s="224"/>
      <c r="I519" s="197"/>
      <c r="J519" s="197"/>
      <c r="K519" s="633"/>
      <c r="L519" s="210"/>
      <c r="M519" s="215"/>
      <c r="N519" s="899"/>
      <c r="O519" s="215"/>
    </row>
    <row r="520" spans="1:15" ht="18" customHeight="1" x14ac:dyDescent="0.25">
      <c r="A520" s="891" t="s">
        <v>2182</v>
      </c>
      <c r="B520" s="198" t="s">
        <v>641</v>
      </c>
      <c r="C520" s="234" t="s">
        <v>91</v>
      </c>
      <c r="D520" s="188" t="s">
        <v>92</v>
      </c>
      <c r="E520" s="225" t="s">
        <v>189</v>
      </c>
      <c r="F520" s="188" t="s">
        <v>642</v>
      </c>
      <c r="G520" s="285">
        <v>70941</v>
      </c>
      <c r="H520" s="318" t="s">
        <v>109</v>
      </c>
      <c r="I520" s="200">
        <v>143790014</v>
      </c>
      <c r="J520" s="324">
        <v>145457433.74093816</v>
      </c>
      <c r="K520" s="633"/>
      <c r="L520" s="315"/>
      <c r="M520" s="937"/>
      <c r="N520" s="899"/>
      <c r="O520" s="905"/>
    </row>
    <row r="521" spans="1:15" ht="18" customHeight="1" x14ac:dyDescent="0.25">
      <c r="A521" s="891" t="s">
        <v>2182</v>
      </c>
      <c r="B521" s="198" t="s">
        <v>643</v>
      </c>
      <c r="C521" s="234" t="s">
        <v>91</v>
      </c>
      <c r="D521" s="188" t="s">
        <v>92</v>
      </c>
      <c r="E521" s="225" t="s">
        <v>189</v>
      </c>
      <c r="F521" s="188" t="s">
        <v>642</v>
      </c>
      <c r="G521" s="285">
        <v>70941</v>
      </c>
      <c r="H521" s="318" t="s">
        <v>109</v>
      </c>
      <c r="I521" s="200">
        <v>90646854</v>
      </c>
      <c r="J521" s="324">
        <v>91698015.101149946</v>
      </c>
      <c r="K521" s="633"/>
      <c r="L521" s="315"/>
      <c r="M521" s="903"/>
      <c r="N521" s="899"/>
      <c r="O521" s="901"/>
    </row>
    <row r="522" spans="1:15" ht="18" customHeight="1" x14ac:dyDescent="0.25">
      <c r="A522" s="891" t="s">
        <v>2182</v>
      </c>
      <c r="B522" s="198" t="s">
        <v>644</v>
      </c>
      <c r="C522" s="234" t="s">
        <v>91</v>
      </c>
      <c r="D522" s="188" t="s">
        <v>92</v>
      </c>
      <c r="E522" s="225" t="s">
        <v>189</v>
      </c>
      <c r="F522" s="188" t="s">
        <v>642</v>
      </c>
      <c r="G522" s="285">
        <v>70941</v>
      </c>
      <c r="H522" s="318" t="s">
        <v>109</v>
      </c>
      <c r="I522" s="200">
        <v>62103535</v>
      </c>
      <c r="J522" s="324">
        <v>62823701.898389854</v>
      </c>
      <c r="K522" s="633"/>
      <c r="L522" s="315"/>
      <c r="M522" s="903"/>
      <c r="N522" s="899"/>
      <c r="O522" s="901"/>
    </row>
    <row r="523" spans="1:15" ht="18" customHeight="1" x14ac:dyDescent="0.25">
      <c r="A523" s="891" t="s">
        <v>2182</v>
      </c>
      <c r="B523" s="198" t="s">
        <v>645</v>
      </c>
      <c r="C523" s="234" t="s">
        <v>91</v>
      </c>
      <c r="D523" s="188" t="s">
        <v>92</v>
      </c>
      <c r="E523" s="225" t="s">
        <v>189</v>
      </c>
      <c r="F523" s="188" t="s">
        <v>642</v>
      </c>
      <c r="G523" s="285">
        <v>70941</v>
      </c>
      <c r="H523" s="318" t="s">
        <v>109</v>
      </c>
      <c r="I523" s="200">
        <v>610534861</v>
      </c>
      <c r="J523" s="324">
        <v>617614756.49416304</v>
      </c>
      <c r="K523" s="633"/>
      <c r="L523" s="315"/>
      <c r="M523" s="903"/>
      <c r="N523" s="899"/>
      <c r="O523" s="901"/>
    </row>
    <row r="524" spans="1:15" ht="18" customHeight="1" x14ac:dyDescent="0.25">
      <c r="A524" s="891" t="s">
        <v>2182</v>
      </c>
      <c r="B524" s="198" t="s">
        <v>646</v>
      </c>
      <c r="C524" s="234" t="s">
        <v>91</v>
      </c>
      <c r="D524" s="188" t="s">
        <v>92</v>
      </c>
      <c r="E524" s="225" t="s">
        <v>189</v>
      </c>
      <c r="F524" s="188" t="s">
        <v>642</v>
      </c>
      <c r="G524" s="285">
        <v>70941</v>
      </c>
      <c r="H524" s="318" t="s">
        <v>109</v>
      </c>
      <c r="I524" s="200">
        <v>246376003</v>
      </c>
      <c r="J524" s="324">
        <v>249233033.50243241</v>
      </c>
      <c r="K524" s="633"/>
      <c r="L524" s="315"/>
      <c r="M524" s="903"/>
      <c r="N524" s="899"/>
      <c r="O524" s="901"/>
    </row>
    <row r="525" spans="1:15" ht="18" customHeight="1" x14ac:dyDescent="0.25">
      <c r="A525" s="891" t="s">
        <v>2182</v>
      </c>
      <c r="B525" s="198" t="s">
        <v>647</v>
      </c>
      <c r="C525" s="234" t="s">
        <v>91</v>
      </c>
      <c r="D525" s="188" t="s">
        <v>92</v>
      </c>
      <c r="E525" s="225" t="s">
        <v>189</v>
      </c>
      <c r="F525" s="188" t="s">
        <v>642</v>
      </c>
      <c r="G525" s="285" t="s">
        <v>648</v>
      </c>
      <c r="H525" s="318" t="s">
        <v>109</v>
      </c>
      <c r="I525" s="200">
        <v>402702797</v>
      </c>
      <c r="J525" s="324">
        <v>407372627.09727728</v>
      </c>
      <c r="K525" s="633"/>
      <c r="L525" s="315"/>
      <c r="M525" s="903"/>
      <c r="N525" s="899"/>
      <c r="O525" s="901"/>
    </row>
    <row r="526" spans="1:15" ht="18" customHeight="1" x14ac:dyDescent="0.25">
      <c r="A526" s="891" t="s">
        <v>2182</v>
      </c>
      <c r="B526" s="198" t="s">
        <v>649</v>
      </c>
      <c r="C526" s="234" t="s">
        <v>91</v>
      </c>
      <c r="D526" s="188" t="s">
        <v>92</v>
      </c>
      <c r="E526" s="225" t="s">
        <v>189</v>
      </c>
      <c r="F526" s="188" t="s">
        <v>642</v>
      </c>
      <c r="G526" s="285" t="s">
        <v>650</v>
      </c>
      <c r="H526" s="318" t="s">
        <v>109</v>
      </c>
      <c r="I526" s="200">
        <v>957207365</v>
      </c>
      <c r="J526" s="324">
        <v>968307350.0027864</v>
      </c>
      <c r="K526" s="633"/>
      <c r="L526" s="315"/>
      <c r="M526" s="903"/>
      <c r="N526" s="899"/>
      <c r="O526" s="901"/>
    </row>
    <row r="527" spans="1:15" ht="18" customHeight="1" x14ac:dyDescent="0.25">
      <c r="A527" s="891" t="s">
        <v>2182</v>
      </c>
      <c r="B527" s="198" t="s">
        <v>651</v>
      </c>
      <c r="C527" s="234" t="s">
        <v>91</v>
      </c>
      <c r="D527" s="188" t="s">
        <v>92</v>
      </c>
      <c r="E527" s="294" t="s">
        <v>652</v>
      </c>
      <c r="F527" s="188" t="s">
        <v>642</v>
      </c>
      <c r="G527" s="285">
        <v>70941</v>
      </c>
      <c r="H527" s="318" t="s">
        <v>109</v>
      </c>
      <c r="I527" s="200">
        <v>33663255</v>
      </c>
      <c r="J527" s="324">
        <v>34053622.397303119</v>
      </c>
      <c r="K527" s="633"/>
      <c r="L527" s="315"/>
      <c r="M527" s="903"/>
      <c r="N527" s="899"/>
      <c r="O527" s="901"/>
    </row>
    <row r="528" spans="1:15" ht="18" customHeight="1" x14ac:dyDescent="0.25">
      <c r="A528" s="316"/>
      <c r="B528" s="888" t="s">
        <v>117</v>
      </c>
      <c r="C528" s="235"/>
      <c r="D528" s="188"/>
      <c r="E528" s="294"/>
      <c r="F528" s="188"/>
      <c r="G528" s="285"/>
      <c r="H528" s="318"/>
      <c r="I528" s="206">
        <f>SUM(I520:I527)</f>
        <v>2547024684</v>
      </c>
      <c r="J528" s="232">
        <f>SUM(J520:J527)</f>
        <v>2576560540.2344403</v>
      </c>
      <c r="K528" s="633"/>
      <c r="L528" s="250"/>
      <c r="M528" s="903"/>
      <c r="N528" s="899"/>
      <c r="O528" s="901"/>
    </row>
    <row r="529" spans="1:15" ht="18" customHeight="1" x14ac:dyDescent="0.25">
      <c r="A529" s="316"/>
      <c r="B529" s="228" t="s">
        <v>458</v>
      </c>
      <c r="C529" s="316"/>
      <c r="D529" s="224"/>
      <c r="E529" s="317"/>
      <c r="F529" s="224"/>
      <c r="G529" s="224"/>
      <c r="H529" s="224"/>
      <c r="I529" s="197"/>
      <c r="J529" s="197"/>
      <c r="K529" s="633"/>
      <c r="L529" s="210"/>
      <c r="M529" s="943"/>
      <c r="N529" s="899"/>
      <c r="O529" s="269"/>
    </row>
    <row r="530" spans="1:15" ht="18" customHeight="1" x14ac:dyDescent="0.25">
      <c r="A530" s="878" t="s">
        <v>2183</v>
      </c>
      <c r="B530" s="265" t="s">
        <v>653</v>
      </c>
      <c r="C530" s="234" t="s">
        <v>91</v>
      </c>
      <c r="D530" s="188" t="s">
        <v>92</v>
      </c>
      <c r="E530" s="294" t="s">
        <v>460</v>
      </c>
      <c r="F530" s="295" t="s">
        <v>654</v>
      </c>
      <c r="G530" s="285">
        <v>70454</v>
      </c>
      <c r="H530" s="318" t="s">
        <v>109</v>
      </c>
      <c r="I530" s="319">
        <v>148917539.31</v>
      </c>
      <c r="J530" s="200"/>
      <c r="K530" s="633"/>
      <c r="L530" s="222"/>
      <c r="M530" s="937"/>
      <c r="N530" s="899"/>
      <c r="O530" s="905"/>
    </row>
    <row r="531" spans="1:15" ht="18" customHeight="1" x14ac:dyDescent="0.25">
      <c r="A531" s="316"/>
      <c r="B531" s="228" t="s">
        <v>486</v>
      </c>
      <c r="C531" s="316"/>
      <c r="D531" s="224"/>
      <c r="E531" s="317"/>
      <c r="F531" s="224"/>
      <c r="G531" s="224"/>
      <c r="H531" s="224"/>
      <c r="I531" s="197"/>
      <c r="J531" s="197"/>
      <c r="K531" s="633"/>
      <c r="L531" s="210"/>
      <c r="M531" s="913"/>
      <c r="N531" s="899"/>
      <c r="O531" s="913"/>
    </row>
    <row r="532" spans="1:15" ht="18" customHeight="1" x14ac:dyDescent="0.25">
      <c r="A532" s="878" t="s">
        <v>2184</v>
      </c>
      <c r="B532" s="198" t="s">
        <v>655</v>
      </c>
      <c r="C532" s="199" t="s">
        <v>91</v>
      </c>
      <c r="D532" s="184" t="s">
        <v>92</v>
      </c>
      <c r="E532" s="294" t="s">
        <v>160</v>
      </c>
      <c r="F532" s="188" t="s">
        <v>656</v>
      </c>
      <c r="G532" s="285">
        <v>70421</v>
      </c>
      <c r="H532" s="318" t="s">
        <v>109</v>
      </c>
      <c r="I532" s="200">
        <v>10000000</v>
      </c>
      <c r="J532" s="200"/>
      <c r="K532" s="633"/>
      <c r="L532" s="222"/>
      <c r="M532" s="937"/>
      <c r="N532" s="899"/>
      <c r="O532" s="905"/>
    </row>
    <row r="533" spans="1:15" ht="18" customHeight="1" x14ac:dyDescent="0.25">
      <c r="A533" s="878" t="s">
        <v>2176</v>
      </c>
      <c r="B533" s="198" t="s">
        <v>657</v>
      </c>
      <c r="C533" s="199"/>
      <c r="D533" s="184"/>
      <c r="E533" s="294"/>
      <c r="F533" s="188"/>
      <c r="G533" s="285"/>
      <c r="H533" s="318"/>
      <c r="I533" s="200"/>
      <c r="J533" s="200"/>
      <c r="K533" s="633"/>
      <c r="L533" s="222"/>
      <c r="M533" s="311"/>
      <c r="N533" s="899"/>
      <c r="O533" s="944"/>
    </row>
    <row r="534" spans="1:15" ht="18" customHeight="1" x14ac:dyDescent="0.25">
      <c r="A534" s="878" t="s">
        <v>2122</v>
      </c>
      <c r="B534" s="198" t="s">
        <v>658</v>
      </c>
      <c r="C534" s="199"/>
      <c r="D534" s="184"/>
      <c r="E534" s="294"/>
      <c r="F534" s="188"/>
      <c r="G534" s="285"/>
      <c r="H534" s="318"/>
      <c r="I534" s="200"/>
      <c r="J534" s="200"/>
      <c r="K534" s="633"/>
      <c r="L534" s="222"/>
      <c r="M534" s="898"/>
      <c r="N534" s="899"/>
      <c r="O534" s="898"/>
    </row>
    <row r="535" spans="1:15" ht="18" customHeight="1" x14ac:dyDescent="0.25">
      <c r="A535" s="316"/>
      <c r="B535" s="888" t="s">
        <v>117</v>
      </c>
      <c r="C535" s="199"/>
      <c r="D535" s="184"/>
      <c r="E535" s="294"/>
      <c r="F535" s="188"/>
      <c r="G535" s="285"/>
      <c r="H535" s="318"/>
      <c r="I535" s="232">
        <f>SUM(I532:I534)</f>
        <v>10000000</v>
      </c>
      <c r="J535" s="286">
        <f>SUM(J532:J534)</f>
        <v>0</v>
      </c>
      <c r="K535" s="633"/>
      <c r="L535" s="287"/>
      <c r="M535" s="898"/>
      <c r="N535" s="899"/>
      <c r="O535" s="898"/>
    </row>
    <row r="536" spans="1:15" ht="18" customHeight="1" x14ac:dyDescent="0.25">
      <c r="A536" s="316"/>
      <c r="B536" s="887" t="s">
        <v>659</v>
      </c>
      <c r="C536" s="887"/>
      <c r="D536" s="887"/>
      <c r="E536" s="887"/>
      <c r="F536" s="887"/>
      <c r="G536" s="887"/>
      <c r="H536" s="887"/>
      <c r="I536" s="232">
        <f>SUM(I528,I530,I535)</f>
        <v>2705942223.3099999</v>
      </c>
      <c r="J536" s="232">
        <f>SUM(J528,J530,J535)</f>
        <v>2576560540.2344403</v>
      </c>
      <c r="K536" s="633"/>
      <c r="L536" s="328"/>
      <c r="M536" s="330"/>
      <c r="N536" s="899"/>
      <c r="O536" s="330"/>
    </row>
    <row r="537" spans="1:15" ht="18" customHeight="1" x14ac:dyDescent="0.3">
      <c r="A537" s="316"/>
      <c r="B537" s="965" t="s">
        <v>660</v>
      </c>
      <c r="C537" s="965"/>
      <c r="D537" s="965"/>
      <c r="E537" s="965"/>
      <c r="F537" s="965"/>
      <c r="G537" s="965"/>
      <c r="H537" s="965"/>
      <c r="I537" s="653">
        <v>73410363076</v>
      </c>
      <c r="J537" s="653">
        <f>SUM(J33,J119,J318,J333,J364,J414,J437,J458,J473,J477,J482,J517,J536)</f>
        <v>71012876590.497253</v>
      </c>
      <c r="K537" s="686"/>
      <c r="L537" s="329"/>
      <c r="M537" s="330"/>
      <c r="N537" s="331"/>
      <c r="O537" s="330"/>
    </row>
    <row r="538" spans="1:15" ht="18" customHeight="1" x14ac:dyDescent="0.3">
      <c r="A538" s="316"/>
      <c r="B538" s="887"/>
      <c r="C538" s="887"/>
      <c r="D538" s="887"/>
      <c r="E538" s="887"/>
      <c r="F538" s="887"/>
      <c r="G538" s="887"/>
      <c r="H538" s="887"/>
      <c r="I538" s="653"/>
      <c r="J538" s="653"/>
      <c r="K538" s="686"/>
      <c r="L538" s="329"/>
      <c r="M538" s="330"/>
      <c r="N538" s="331"/>
      <c r="O538" s="330"/>
    </row>
    <row r="539" spans="1:15" ht="18" customHeight="1" x14ac:dyDescent="0.3">
      <c r="A539" s="681"/>
      <c r="B539" s="966" t="s">
        <v>661</v>
      </c>
      <c r="C539" s="966"/>
      <c r="D539" s="966"/>
      <c r="E539" s="966"/>
      <c r="F539" s="966"/>
      <c r="G539" s="966"/>
      <c r="H539" s="966"/>
      <c r="I539" s="653">
        <f>SUM(I10,I537)</f>
        <v>304356290990</v>
      </c>
      <c r="J539" s="653">
        <f>SUM(J10,J537)</f>
        <v>342376781658.99725</v>
      </c>
      <c r="K539" s="687"/>
      <c r="L539" s="270"/>
    </row>
    <row r="540" spans="1:15" ht="42" customHeight="1" x14ac:dyDescent="0.3">
      <c r="A540" s="688"/>
      <c r="B540" s="651">
        <v>27</v>
      </c>
      <c r="C540" s="689"/>
      <c r="D540" s="689"/>
      <c r="E540" s="689"/>
      <c r="F540" s="689"/>
      <c r="G540" s="689"/>
      <c r="H540" s="689"/>
      <c r="I540" s="690"/>
      <c r="J540" s="690"/>
      <c r="K540" s="687"/>
      <c r="L540" s="945"/>
    </row>
    <row r="541" spans="1:15" ht="18" customHeight="1" x14ac:dyDescent="0.25">
      <c r="A541" s="332"/>
      <c r="B541" s="645" t="s">
        <v>45</v>
      </c>
      <c r="C541" s="334"/>
      <c r="D541" s="334"/>
      <c r="E541" s="334"/>
      <c r="F541" s="334"/>
      <c r="G541" s="226"/>
      <c r="H541" s="226"/>
      <c r="I541" s="632"/>
      <c r="J541" s="226"/>
      <c r="K541" s="633"/>
    </row>
    <row r="542" spans="1:15" ht="18" customHeight="1" x14ac:dyDescent="0.25">
      <c r="A542" s="892">
        <v>14010101</v>
      </c>
      <c r="B542" s="642" t="s">
        <v>46</v>
      </c>
      <c r="C542" s="333"/>
      <c r="D542" s="333"/>
      <c r="E542" s="333"/>
      <c r="F542" s="333"/>
      <c r="G542" s="333"/>
      <c r="H542" s="333"/>
      <c r="I542" s="226">
        <f>I539-157096029253</f>
        <v>147260261737</v>
      </c>
      <c r="J542" s="226">
        <f>'BUDGET SUM'!G54</f>
        <v>170222297344.43726</v>
      </c>
      <c r="K542" s="633"/>
      <c r="L542" s="945"/>
    </row>
    <row r="543" spans="1:15" ht="18" customHeight="1" x14ac:dyDescent="0.25">
      <c r="A543" s="332"/>
      <c r="B543" s="642" t="s">
        <v>47</v>
      </c>
      <c r="C543" s="225"/>
      <c r="D543" s="334"/>
      <c r="E543" s="335"/>
      <c r="F543" s="335"/>
      <c r="G543" s="226"/>
      <c r="H543" s="226"/>
      <c r="I543" s="226"/>
      <c r="J543" s="226"/>
      <c r="K543" s="633"/>
    </row>
    <row r="544" spans="1:15" ht="21" customHeight="1" x14ac:dyDescent="0.25">
      <c r="A544" s="332"/>
      <c r="B544" s="645" t="s">
        <v>117</v>
      </c>
      <c r="C544" s="231"/>
      <c r="D544" s="336"/>
      <c r="E544" s="337"/>
      <c r="F544" s="337"/>
      <c r="G544" s="194"/>
      <c r="H544" s="194"/>
      <c r="I544" s="194">
        <f>SUM(I542:I543)</f>
        <v>147260261737</v>
      </c>
      <c r="J544" s="194">
        <f>SUM(J542:J543)</f>
        <v>170222297344.43726</v>
      </c>
      <c r="K544" s="633"/>
    </row>
    <row r="545" spans="1:11" ht="21" customHeight="1" x14ac:dyDescent="0.25">
      <c r="A545" s="332"/>
      <c r="B545" s="887" t="s">
        <v>49</v>
      </c>
      <c r="C545" s="225"/>
      <c r="D545" s="335"/>
      <c r="E545" s="334"/>
      <c r="F545" s="334"/>
      <c r="G545" s="226"/>
      <c r="H545" s="226"/>
      <c r="I545" s="226"/>
      <c r="J545" s="226"/>
      <c r="K545" s="633"/>
    </row>
    <row r="546" spans="1:11" ht="21" customHeight="1" x14ac:dyDescent="0.25">
      <c r="A546" s="332"/>
      <c r="B546" s="642" t="s">
        <v>662</v>
      </c>
      <c r="C546" s="225"/>
      <c r="D546" s="335"/>
      <c r="E546" s="334"/>
      <c r="F546" s="334"/>
      <c r="G546" s="226"/>
      <c r="H546" s="226"/>
      <c r="I546" s="226"/>
      <c r="J546" s="226"/>
      <c r="K546" s="633"/>
    </row>
    <row r="547" spans="1:11" ht="21" customHeight="1" x14ac:dyDescent="0.25">
      <c r="A547" s="332"/>
      <c r="B547" s="645" t="s">
        <v>117</v>
      </c>
      <c r="C547" s="225"/>
      <c r="D547" s="335"/>
      <c r="E547" s="334"/>
      <c r="F547" s="334"/>
      <c r="G547" s="226"/>
      <c r="H547" s="226"/>
      <c r="I547" s="204">
        <f>SUM(I546:I546)</f>
        <v>0</v>
      </c>
      <c r="J547" s="204">
        <f>SUM(J546:J546)</f>
        <v>0</v>
      </c>
      <c r="K547" s="633"/>
    </row>
    <row r="548" spans="1:11" ht="21" customHeight="1" x14ac:dyDescent="0.25">
      <c r="A548" s="332"/>
      <c r="B548" s="887" t="s">
        <v>50</v>
      </c>
      <c r="C548" s="225"/>
      <c r="D548" s="335"/>
      <c r="E548" s="334"/>
      <c r="F548" s="334"/>
      <c r="G548" s="226"/>
      <c r="H548" s="226"/>
      <c r="I548" s="226"/>
      <c r="J548" s="226"/>
      <c r="K548" s="633"/>
    </row>
    <row r="549" spans="1:11" ht="21" customHeight="1" x14ac:dyDescent="0.25">
      <c r="A549" s="332"/>
      <c r="B549" s="642" t="s">
        <v>663</v>
      </c>
      <c r="C549" s="225"/>
      <c r="D549" s="335"/>
      <c r="E549" s="334"/>
      <c r="F549" s="334"/>
      <c r="G549" s="226"/>
      <c r="H549" s="226"/>
      <c r="I549" s="226"/>
      <c r="J549" s="226"/>
      <c r="K549" s="633"/>
    </row>
    <row r="550" spans="1:11" ht="21" customHeight="1" x14ac:dyDescent="0.25">
      <c r="A550" s="332"/>
      <c r="B550" s="642" t="s">
        <v>664</v>
      </c>
      <c r="C550" s="225"/>
      <c r="D550" s="335"/>
      <c r="E550" s="334"/>
      <c r="F550" s="334"/>
      <c r="G550" s="226"/>
      <c r="H550" s="226"/>
      <c r="I550" s="226"/>
      <c r="J550" s="226"/>
      <c r="K550" s="633"/>
    </row>
    <row r="551" spans="1:11" ht="21" customHeight="1" x14ac:dyDescent="0.25">
      <c r="A551" s="332"/>
      <c r="B551" s="887" t="s">
        <v>117</v>
      </c>
      <c r="C551" s="225"/>
      <c r="D551" s="335"/>
      <c r="E551" s="334"/>
      <c r="F551" s="334"/>
      <c r="G551" s="226"/>
      <c r="H551" s="226"/>
      <c r="I551" s="204">
        <f>SUM(I549:I550)</f>
        <v>0</v>
      </c>
      <c r="J551" s="204">
        <f>SUM(J549:J550)</f>
        <v>0</v>
      </c>
      <c r="K551" s="633"/>
    </row>
    <row r="552" spans="1:11" ht="21" customHeight="1" x14ac:dyDescent="0.25">
      <c r="A552" s="332"/>
      <c r="B552" s="887" t="s">
        <v>52</v>
      </c>
      <c r="C552" s="225"/>
      <c r="D552" s="335"/>
      <c r="E552" s="334"/>
      <c r="F552" s="334"/>
      <c r="G552" s="226"/>
      <c r="H552" s="226"/>
      <c r="I552" s="226"/>
      <c r="J552" s="226"/>
      <c r="K552" s="633"/>
    </row>
    <row r="553" spans="1:11" ht="21" customHeight="1" x14ac:dyDescent="0.25">
      <c r="A553" s="332"/>
      <c r="B553" s="642" t="s">
        <v>665</v>
      </c>
      <c r="C553" s="225"/>
      <c r="D553" s="335"/>
      <c r="E553" s="334"/>
      <c r="F553" s="334"/>
      <c r="G553" s="226"/>
      <c r="H553" s="226"/>
      <c r="I553" s="226"/>
      <c r="J553" s="226"/>
      <c r="K553" s="633"/>
    </row>
    <row r="554" spans="1:11" ht="21" customHeight="1" x14ac:dyDescent="0.25">
      <c r="A554" s="332"/>
      <c r="B554" s="642" t="s">
        <v>666</v>
      </c>
      <c r="C554" s="225"/>
      <c r="D554" s="335"/>
      <c r="E554" s="334"/>
      <c r="F554" s="334"/>
      <c r="G554" s="226"/>
      <c r="H554" s="226"/>
      <c r="I554" s="226"/>
      <c r="J554" s="226"/>
      <c r="K554" s="633"/>
    </row>
    <row r="555" spans="1:11" ht="21" customHeight="1" x14ac:dyDescent="0.25">
      <c r="A555" s="332"/>
      <c r="B555" s="642" t="s">
        <v>667</v>
      </c>
      <c r="C555" s="225"/>
      <c r="D555" s="335"/>
      <c r="E555" s="334"/>
      <c r="F555" s="334"/>
      <c r="G555" s="226"/>
      <c r="H555" s="226"/>
      <c r="I555" s="226"/>
      <c r="J555" s="226"/>
      <c r="K555" s="633"/>
    </row>
    <row r="556" spans="1:11" ht="21" customHeight="1" x14ac:dyDescent="0.25">
      <c r="A556" s="332"/>
      <c r="B556" s="887" t="s">
        <v>117</v>
      </c>
      <c r="C556" s="225"/>
      <c r="D556" s="335"/>
      <c r="E556" s="334"/>
      <c r="F556" s="334"/>
      <c r="G556" s="226"/>
      <c r="H556" s="226"/>
      <c r="I556" s="204">
        <f>SUM(I553:I555)</f>
        <v>0</v>
      </c>
      <c r="J556" s="204">
        <f>SUM(J553:J555)</f>
        <v>0</v>
      </c>
      <c r="K556" s="633"/>
    </row>
    <row r="557" spans="1:11" ht="21" customHeight="1" x14ac:dyDescent="0.25">
      <c r="A557" s="332"/>
      <c r="B557" s="887" t="s">
        <v>53</v>
      </c>
      <c r="C557" s="225"/>
      <c r="D557" s="335"/>
      <c r="E557" s="334"/>
      <c r="F557" s="334"/>
      <c r="G557" s="226"/>
      <c r="H557" s="226"/>
      <c r="I557" s="226"/>
      <c r="J557" s="226"/>
      <c r="K557" s="633"/>
    </row>
    <row r="558" spans="1:11" ht="21" customHeight="1" x14ac:dyDescent="0.25">
      <c r="A558" s="332"/>
      <c r="B558" s="642" t="s">
        <v>668</v>
      </c>
      <c r="C558" s="225"/>
      <c r="D558" s="335"/>
      <c r="E558" s="334"/>
      <c r="F558" s="334"/>
      <c r="G558" s="226"/>
      <c r="H558" s="226"/>
      <c r="I558" s="226"/>
      <c r="J558" s="226"/>
      <c r="K558" s="633"/>
    </row>
    <row r="559" spans="1:11" ht="21" customHeight="1" x14ac:dyDescent="0.25">
      <c r="A559" s="332"/>
      <c r="B559" s="642" t="s">
        <v>669</v>
      </c>
      <c r="C559" s="225"/>
      <c r="D559" s="335"/>
      <c r="E559" s="334"/>
      <c r="F559" s="334"/>
      <c r="G559" s="226"/>
      <c r="H559" s="226"/>
      <c r="I559" s="226"/>
      <c r="J559" s="226"/>
      <c r="K559" s="633"/>
    </row>
    <row r="560" spans="1:11" ht="21" customHeight="1" x14ac:dyDescent="0.25">
      <c r="A560" s="332"/>
      <c r="B560" s="642" t="s">
        <v>670</v>
      </c>
      <c r="C560" s="225"/>
      <c r="D560" s="335"/>
      <c r="E560" s="334"/>
      <c r="F560" s="334"/>
      <c r="G560" s="226"/>
      <c r="H560" s="226"/>
      <c r="I560" s="226"/>
      <c r="J560" s="226"/>
      <c r="K560" s="633"/>
    </row>
    <row r="561" spans="1:11" ht="21" customHeight="1" x14ac:dyDescent="0.25">
      <c r="A561" s="332"/>
      <c r="B561" s="887" t="s">
        <v>117</v>
      </c>
      <c r="C561" s="225"/>
      <c r="D561" s="335"/>
      <c r="E561" s="334"/>
      <c r="F561" s="334"/>
      <c r="G561" s="226"/>
      <c r="H561" s="226"/>
      <c r="I561" s="204">
        <f>SUM(I558:I560)</f>
        <v>0</v>
      </c>
      <c r="J561" s="204">
        <f>SUM(J558:J560)</f>
        <v>0</v>
      </c>
      <c r="K561" s="633"/>
    </row>
    <row r="562" spans="1:11" ht="21" customHeight="1" x14ac:dyDescent="0.25">
      <c r="A562" s="332"/>
      <c r="B562" s="338" t="s">
        <v>21</v>
      </c>
      <c r="C562" s="225"/>
      <c r="D562" s="335"/>
      <c r="E562" s="334"/>
      <c r="F562" s="334"/>
      <c r="G562" s="226"/>
      <c r="H562" s="226"/>
      <c r="I562" s="226">
        <v>86022380188</v>
      </c>
      <c r="J562" s="226">
        <f>46814017703+6284594307</f>
        <v>53098612010</v>
      </c>
      <c r="K562" s="633"/>
    </row>
    <row r="563" spans="1:11" ht="21" customHeight="1" x14ac:dyDescent="0.25">
      <c r="A563" s="339"/>
      <c r="B563" s="887" t="s">
        <v>55</v>
      </c>
      <c r="C563" s="231"/>
      <c r="D563" s="337"/>
      <c r="E563" s="336"/>
      <c r="F563" s="336"/>
      <c r="G563" s="336"/>
      <c r="H563" s="336"/>
      <c r="I563" s="340">
        <f>SUM(I544,I547,I551,I556,I561,I562)</f>
        <v>233282641925</v>
      </c>
      <c r="J563" s="340">
        <f>SUM(J544,J547,J551,J556,J561,J562)</f>
        <v>223320909354.43726</v>
      </c>
      <c r="K563" s="633"/>
    </row>
    <row r="564" spans="1:11" ht="42" customHeight="1" x14ac:dyDescent="0.25">
      <c r="A564" s="650"/>
      <c r="B564" s="651">
        <v>94</v>
      </c>
      <c r="C564" s="655"/>
      <c r="D564" s="655"/>
      <c r="E564" s="655"/>
      <c r="F564" s="655"/>
      <c r="G564" s="655"/>
      <c r="H564" s="655"/>
      <c r="I564" s="691"/>
      <c r="J564" s="691"/>
      <c r="K564" s="633"/>
    </row>
    <row r="565" spans="1:11" ht="21" customHeight="1" x14ac:dyDescent="0.25">
      <c r="A565" s="650"/>
      <c r="B565" s="692"/>
      <c r="C565" s="655"/>
      <c r="D565" s="655"/>
      <c r="E565" s="655"/>
      <c r="F565" s="655"/>
      <c r="G565" s="655"/>
      <c r="H565" s="655"/>
      <c r="I565" s="691"/>
      <c r="J565" s="691"/>
      <c r="K565" s="633"/>
    </row>
    <row r="566" spans="1:11" ht="21" customHeight="1" x14ac:dyDescent="0.25">
      <c r="A566" s="650"/>
      <c r="B566" s="692"/>
      <c r="C566" s="655"/>
      <c r="D566" s="655"/>
      <c r="E566" s="655"/>
      <c r="F566" s="655"/>
      <c r="G566" s="655"/>
      <c r="H566" s="655"/>
      <c r="I566" s="691"/>
      <c r="J566" s="693"/>
      <c r="K566" s="633"/>
    </row>
    <row r="567" spans="1:11" ht="21" customHeight="1" x14ac:dyDescent="0.25">
      <c r="A567" s="663"/>
      <c r="B567" s="694"/>
      <c r="C567" s="695"/>
      <c r="D567" s="695"/>
      <c r="E567" s="695"/>
      <c r="F567" s="695"/>
      <c r="G567" s="695"/>
      <c r="H567" s="695"/>
      <c r="I567" s="693"/>
    </row>
    <row r="568" spans="1:11" ht="21" customHeight="1" x14ac:dyDescent="0.25">
      <c r="A568" s="663"/>
      <c r="B568" s="694"/>
      <c r="C568" s="663"/>
      <c r="D568" s="663"/>
      <c r="E568" s="663"/>
      <c r="F568" s="663"/>
      <c r="G568" s="663"/>
      <c r="H568" s="663"/>
      <c r="I568" s="693"/>
      <c r="J568" s="693"/>
    </row>
    <row r="569" spans="1:11" ht="21" customHeight="1" x14ac:dyDescent="0.25">
      <c r="I569" s="700"/>
      <c r="J569" s="700"/>
    </row>
    <row r="570" spans="1:11" ht="21" customHeight="1" x14ac:dyDescent="0.25">
      <c r="I570" s="700"/>
      <c r="J570" s="700"/>
    </row>
    <row r="571" spans="1:11" ht="21" customHeight="1" x14ac:dyDescent="0.25">
      <c r="I571" s="700"/>
      <c r="J571" s="700"/>
    </row>
    <row r="572" spans="1:11" ht="21" customHeight="1" x14ac:dyDescent="0.25">
      <c r="I572" s="700"/>
      <c r="J572" s="700"/>
    </row>
  </sheetData>
  <mergeCells count="8">
    <mergeCell ref="B537:H537"/>
    <mergeCell ref="B539:H539"/>
    <mergeCell ref="A1:J1"/>
    <mergeCell ref="A2:J2"/>
    <mergeCell ref="B12:H12"/>
    <mergeCell ref="B15:H15"/>
    <mergeCell ref="B24:H24"/>
    <mergeCell ref="B35:H35"/>
  </mergeCells>
  <phoneticPr fontId="74" type="noConversion"/>
  <conditionalFormatting sqref="M179">
    <cfRule type="duplicateValues" dxfId="1889" priority="1404" stopIfTrue="1"/>
  </conditionalFormatting>
  <conditionalFormatting sqref="M179">
    <cfRule type="duplicateValues" dxfId="1888" priority="1401" stopIfTrue="1"/>
    <cfRule type="duplicateValues" dxfId="1887" priority="1402" stopIfTrue="1"/>
    <cfRule type="duplicateValues" dxfId="1886" priority="1403" stopIfTrue="1"/>
  </conditionalFormatting>
  <conditionalFormatting sqref="M93">
    <cfRule type="duplicateValues" dxfId="1885" priority="1400" stopIfTrue="1"/>
  </conditionalFormatting>
  <conditionalFormatting sqref="M93">
    <cfRule type="duplicateValues" dxfId="1884" priority="1397" stopIfTrue="1"/>
    <cfRule type="duplicateValues" dxfId="1883" priority="1398" stopIfTrue="1"/>
    <cfRule type="duplicateValues" dxfId="1882" priority="1399" stopIfTrue="1"/>
  </conditionalFormatting>
  <conditionalFormatting sqref="M175">
    <cfRule type="duplicateValues" dxfId="1881" priority="1396" stopIfTrue="1"/>
  </conditionalFormatting>
  <conditionalFormatting sqref="M175">
    <cfRule type="duplicateValues" dxfId="1880" priority="1393" stopIfTrue="1"/>
    <cfRule type="duplicateValues" dxfId="1879" priority="1394" stopIfTrue="1"/>
    <cfRule type="duplicateValues" dxfId="1878" priority="1395" stopIfTrue="1"/>
  </conditionalFormatting>
  <conditionalFormatting sqref="M217">
    <cfRule type="duplicateValues" dxfId="1877" priority="1392" stopIfTrue="1"/>
  </conditionalFormatting>
  <conditionalFormatting sqref="M217">
    <cfRule type="duplicateValues" dxfId="1876" priority="1389" stopIfTrue="1"/>
    <cfRule type="duplicateValues" dxfId="1875" priority="1390" stopIfTrue="1"/>
    <cfRule type="duplicateValues" dxfId="1874" priority="1391" stopIfTrue="1"/>
  </conditionalFormatting>
  <conditionalFormatting sqref="M215">
    <cfRule type="duplicateValues" dxfId="1873" priority="1388" stopIfTrue="1"/>
  </conditionalFormatting>
  <conditionalFormatting sqref="M215">
    <cfRule type="duplicateValues" dxfId="1872" priority="1385" stopIfTrue="1"/>
    <cfRule type="duplicateValues" dxfId="1871" priority="1386" stopIfTrue="1"/>
    <cfRule type="duplicateValues" dxfId="1870" priority="1387" stopIfTrue="1"/>
  </conditionalFormatting>
  <conditionalFormatting sqref="M216">
    <cfRule type="duplicateValues" dxfId="1869" priority="1384" stopIfTrue="1"/>
  </conditionalFormatting>
  <conditionalFormatting sqref="M216">
    <cfRule type="duplicateValues" dxfId="1868" priority="1381" stopIfTrue="1"/>
    <cfRule type="duplicateValues" dxfId="1867" priority="1382" stopIfTrue="1"/>
    <cfRule type="duplicateValues" dxfId="1866" priority="1383" stopIfTrue="1"/>
  </conditionalFormatting>
  <conditionalFormatting sqref="M219">
    <cfRule type="duplicateValues" dxfId="1865" priority="1380" stopIfTrue="1"/>
  </conditionalFormatting>
  <conditionalFormatting sqref="M219">
    <cfRule type="duplicateValues" dxfId="1864" priority="1377" stopIfTrue="1"/>
    <cfRule type="duplicateValues" dxfId="1863" priority="1378" stopIfTrue="1"/>
    <cfRule type="duplicateValues" dxfId="1862" priority="1379" stopIfTrue="1"/>
  </conditionalFormatting>
  <conditionalFormatting sqref="M220:M222">
    <cfRule type="duplicateValues" dxfId="1861" priority="1376" stopIfTrue="1"/>
  </conditionalFormatting>
  <conditionalFormatting sqref="M220:M222">
    <cfRule type="duplicateValues" dxfId="1860" priority="1373" stopIfTrue="1"/>
    <cfRule type="duplicateValues" dxfId="1859" priority="1374" stopIfTrue="1"/>
    <cfRule type="duplicateValues" dxfId="1858" priority="1375" stopIfTrue="1"/>
  </conditionalFormatting>
  <conditionalFormatting sqref="M214">
    <cfRule type="duplicateValues" dxfId="1857" priority="1372" stopIfTrue="1"/>
  </conditionalFormatting>
  <conditionalFormatting sqref="M214">
    <cfRule type="duplicateValues" dxfId="1856" priority="1369" stopIfTrue="1"/>
    <cfRule type="duplicateValues" dxfId="1855" priority="1370" stopIfTrue="1"/>
    <cfRule type="duplicateValues" dxfId="1854" priority="1371" stopIfTrue="1"/>
  </conditionalFormatting>
  <conditionalFormatting sqref="M225">
    <cfRule type="duplicateValues" dxfId="1853" priority="1368" stopIfTrue="1"/>
  </conditionalFormatting>
  <conditionalFormatting sqref="M225">
    <cfRule type="duplicateValues" dxfId="1852" priority="1365" stopIfTrue="1"/>
    <cfRule type="duplicateValues" dxfId="1851" priority="1366" stopIfTrue="1"/>
    <cfRule type="duplicateValues" dxfId="1850" priority="1367" stopIfTrue="1"/>
  </conditionalFormatting>
  <conditionalFormatting sqref="M226">
    <cfRule type="duplicateValues" dxfId="1849" priority="1364" stopIfTrue="1"/>
  </conditionalFormatting>
  <conditionalFormatting sqref="M226">
    <cfRule type="duplicateValues" dxfId="1848" priority="1361" stopIfTrue="1"/>
    <cfRule type="duplicateValues" dxfId="1847" priority="1362" stopIfTrue="1"/>
    <cfRule type="duplicateValues" dxfId="1846" priority="1363" stopIfTrue="1"/>
  </conditionalFormatting>
  <conditionalFormatting sqref="M232">
    <cfRule type="duplicateValues" dxfId="1845" priority="1360" stopIfTrue="1"/>
  </conditionalFormatting>
  <conditionalFormatting sqref="M232">
    <cfRule type="duplicateValues" dxfId="1844" priority="1357" stopIfTrue="1"/>
    <cfRule type="duplicateValues" dxfId="1843" priority="1358" stopIfTrue="1"/>
    <cfRule type="duplicateValues" dxfId="1842" priority="1359" stopIfTrue="1"/>
  </conditionalFormatting>
  <conditionalFormatting sqref="M233">
    <cfRule type="duplicateValues" dxfId="1841" priority="1356" stopIfTrue="1"/>
  </conditionalFormatting>
  <conditionalFormatting sqref="M233">
    <cfRule type="duplicateValues" dxfId="1840" priority="1353" stopIfTrue="1"/>
    <cfRule type="duplicateValues" dxfId="1839" priority="1354" stopIfTrue="1"/>
    <cfRule type="duplicateValues" dxfId="1838" priority="1355" stopIfTrue="1"/>
  </conditionalFormatting>
  <conditionalFormatting sqref="M234">
    <cfRule type="duplicateValues" dxfId="1837" priority="1352" stopIfTrue="1"/>
  </conditionalFormatting>
  <conditionalFormatting sqref="M234">
    <cfRule type="duplicateValues" dxfId="1836" priority="1349" stopIfTrue="1"/>
    <cfRule type="duplicateValues" dxfId="1835" priority="1350" stopIfTrue="1"/>
    <cfRule type="duplicateValues" dxfId="1834" priority="1351" stopIfTrue="1"/>
  </conditionalFormatting>
  <conditionalFormatting sqref="M245">
    <cfRule type="duplicateValues" dxfId="1833" priority="1348" stopIfTrue="1"/>
  </conditionalFormatting>
  <conditionalFormatting sqref="M245">
    <cfRule type="duplicateValues" dxfId="1832" priority="1345" stopIfTrue="1"/>
    <cfRule type="duplicateValues" dxfId="1831" priority="1346" stopIfTrue="1"/>
    <cfRule type="duplicateValues" dxfId="1830" priority="1347" stopIfTrue="1"/>
  </conditionalFormatting>
  <conditionalFormatting sqref="M246">
    <cfRule type="duplicateValues" dxfId="1829" priority="1344" stopIfTrue="1"/>
  </conditionalFormatting>
  <conditionalFormatting sqref="M246">
    <cfRule type="duplicateValues" dxfId="1828" priority="1341" stopIfTrue="1"/>
    <cfRule type="duplicateValues" dxfId="1827" priority="1342" stopIfTrue="1"/>
    <cfRule type="duplicateValues" dxfId="1826" priority="1343" stopIfTrue="1"/>
  </conditionalFormatting>
  <conditionalFormatting sqref="M247:M249">
    <cfRule type="duplicateValues" dxfId="1825" priority="1340" stopIfTrue="1"/>
  </conditionalFormatting>
  <conditionalFormatting sqref="M247:M249">
    <cfRule type="duplicateValues" dxfId="1824" priority="1337" stopIfTrue="1"/>
    <cfRule type="duplicateValues" dxfId="1823" priority="1338" stopIfTrue="1"/>
    <cfRule type="duplicateValues" dxfId="1822" priority="1339" stopIfTrue="1"/>
  </conditionalFormatting>
  <conditionalFormatting sqref="M259">
    <cfRule type="duplicateValues" dxfId="1821" priority="1336" stopIfTrue="1"/>
  </conditionalFormatting>
  <conditionalFormatting sqref="M259">
    <cfRule type="duplicateValues" dxfId="1820" priority="1333" stopIfTrue="1"/>
    <cfRule type="duplicateValues" dxfId="1819" priority="1334" stopIfTrue="1"/>
    <cfRule type="duplicateValues" dxfId="1818" priority="1335" stopIfTrue="1"/>
  </conditionalFormatting>
  <conditionalFormatting sqref="M273">
    <cfRule type="duplicateValues" dxfId="1817" priority="1332" stopIfTrue="1"/>
  </conditionalFormatting>
  <conditionalFormatting sqref="M273">
    <cfRule type="duplicateValues" dxfId="1816" priority="1329" stopIfTrue="1"/>
    <cfRule type="duplicateValues" dxfId="1815" priority="1330" stopIfTrue="1"/>
    <cfRule type="duplicateValues" dxfId="1814" priority="1331" stopIfTrue="1"/>
  </conditionalFormatting>
  <conditionalFormatting sqref="M274">
    <cfRule type="duplicateValues" dxfId="1813" priority="1328" stopIfTrue="1"/>
  </conditionalFormatting>
  <conditionalFormatting sqref="M274">
    <cfRule type="duplicateValues" dxfId="1812" priority="1325" stopIfTrue="1"/>
    <cfRule type="duplicateValues" dxfId="1811" priority="1326" stopIfTrue="1"/>
    <cfRule type="duplicateValues" dxfId="1810" priority="1327" stopIfTrue="1"/>
  </conditionalFormatting>
  <conditionalFormatting sqref="M275">
    <cfRule type="duplicateValues" dxfId="1809" priority="1324" stopIfTrue="1"/>
  </conditionalFormatting>
  <conditionalFormatting sqref="M275">
    <cfRule type="duplicateValues" dxfId="1808" priority="1321" stopIfTrue="1"/>
    <cfRule type="duplicateValues" dxfId="1807" priority="1322" stopIfTrue="1"/>
    <cfRule type="duplicateValues" dxfId="1806" priority="1323" stopIfTrue="1"/>
  </conditionalFormatting>
  <conditionalFormatting sqref="M276">
    <cfRule type="duplicateValues" dxfId="1805" priority="1320" stopIfTrue="1"/>
  </conditionalFormatting>
  <conditionalFormatting sqref="M276">
    <cfRule type="duplicateValues" dxfId="1804" priority="1317" stopIfTrue="1"/>
    <cfRule type="duplicateValues" dxfId="1803" priority="1318" stopIfTrue="1"/>
    <cfRule type="duplicateValues" dxfId="1802" priority="1319" stopIfTrue="1"/>
  </conditionalFormatting>
  <conditionalFormatting sqref="M283">
    <cfRule type="duplicateValues" dxfId="1801" priority="1316" stopIfTrue="1"/>
  </conditionalFormatting>
  <conditionalFormatting sqref="M283">
    <cfRule type="duplicateValues" dxfId="1800" priority="1313" stopIfTrue="1"/>
    <cfRule type="duplicateValues" dxfId="1799" priority="1314" stopIfTrue="1"/>
    <cfRule type="duplicateValues" dxfId="1798" priority="1315" stopIfTrue="1"/>
  </conditionalFormatting>
  <conditionalFormatting sqref="M284">
    <cfRule type="duplicateValues" dxfId="1797" priority="1312" stopIfTrue="1"/>
  </conditionalFormatting>
  <conditionalFormatting sqref="M284">
    <cfRule type="duplicateValues" dxfId="1796" priority="1309" stopIfTrue="1"/>
    <cfRule type="duplicateValues" dxfId="1795" priority="1310" stopIfTrue="1"/>
    <cfRule type="duplicateValues" dxfId="1794" priority="1311" stopIfTrue="1"/>
  </conditionalFormatting>
  <conditionalFormatting sqref="M298:M299">
    <cfRule type="duplicateValues" dxfId="1793" priority="1308" stopIfTrue="1"/>
  </conditionalFormatting>
  <conditionalFormatting sqref="M298:M299">
    <cfRule type="duplicateValues" dxfId="1792" priority="1305" stopIfTrue="1"/>
    <cfRule type="duplicateValues" dxfId="1791" priority="1306" stopIfTrue="1"/>
    <cfRule type="duplicateValues" dxfId="1790" priority="1307" stopIfTrue="1"/>
  </conditionalFormatting>
  <conditionalFormatting sqref="M285">
    <cfRule type="duplicateValues" dxfId="1789" priority="1304" stopIfTrue="1"/>
  </conditionalFormatting>
  <conditionalFormatting sqref="M285">
    <cfRule type="duplicateValues" dxfId="1788" priority="1301" stopIfTrue="1"/>
    <cfRule type="duplicateValues" dxfId="1787" priority="1302" stopIfTrue="1"/>
    <cfRule type="duplicateValues" dxfId="1786" priority="1303" stopIfTrue="1"/>
  </conditionalFormatting>
  <conditionalFormatting sqref="M288">
    <cfRule type="duplicateValues" dxfId="1785" priority="1300" stopIfTrue="1"/>
  </conditionalFormatting>
  <conditionalFormatting sqref="M288">
    <cfRule type="duplicateValues" dxfId="1784" priority="1297" stopIfTrue="1"/>
    <cfRule type="duplicateValues" dxfId="1783" priority="1298" stopIfTrue="1"/>
    <cfRule type="duplicateValues" dxfId="1782" priority="1299" stopIfTrue="1"/>
  </conditionalFormatting>
  <conditionalFormatting sqref="M90">
    <cfRule type="duplicateValues" dxfId="1781" priority="1296" stopIfTrue="1"/>
  </conditionalFormatting>
  <conditionalFormatting sqref="M90">
    <cfRule type="duplicateValues" dxfId="1780" priority="1293" stopIfTrue="1"/>
    <cfRule type="duplicateValues" dxfId="1779" priority="1294" stopIfTrue="1"/>
    <cfRule type="duplicateValues" dxfId="1778" priority="1295" stopIfTrue="1"/>
  </conditionalFormatting>
  <conditionalFormatting sqref="M91">
    <cfRule type="duplicateValues" dxfId="1777" priority="1292" stopIfTrue="1"/>
  </conditionalFormatting>
  <conditionalFormatting sqref="M91">
    <cfRule type="duplicateValues" dxfId="1776" priority="1289" stopIfTrue="1"/>
    <cfRule type="duplicateValues" dxfId="1775" priority="1290" stopIfTrue="1"/>
    <cfRule type="duplicateValues" dxfId="1774" priority="1291" stopIfTrue="1"/>
  </conditionalFormatting>
  <conditionalFormatting sqref="M344">
    <cfRule type="duplicateValues" dxfId="1773" priority="1288" stopIfTrue="1"/>
  </conditionalFormatting>
  <conditionalFormatting sqref="M344">
    <cfRule type="duplicateValues" dxfId="1772" priority="1285" stopIfTrue="1"/>
    <cfRule type="duplicateValues" dxfId="1771" priority="1286" stopIfTrue="1"/>
    <cfRule type="duplicateValues" dxfId="1770" priority="1287" stopIfTrue="1"/>
  </conditionalFormatting>
  <conditionalFormatting sqref="M389">
    <cfRule type="duplicateValues" dxfId="1769" priority="1284" stopIfTrue="1"/>
  </conditionalFormatting>
  <conditionalFormatting sqref="M389">
    <cfRule type="duplicateValues" dxfId="1768" priority="1281" stopIfTrue="1"/>
    <cfRule type="duplicateValues" dxfId="1767" priority="1282" stopIfTrue="1"/>
    <cfRule type="duplicateValues" dxfId="1766" priority="1283" stopIfTrue="1"/>
  </conditionalFormatting>
  <conditionalFormatting sqref="M461">
    <cfRule type="duplicateValues" dxfId="1765" priority="1280" stopIfTrue="1"/>
  </conditionalFormatting>
  <conditionalFormatting sqref="M461">
    <cfRule type="duplicateValues" dxfId="1764" priority="1277" stopIfTrue="1"/>
    <cfRule type="duplicateValues" dxfId="1763" priority="1278" stopIfTrue="1"/>
    <cfRule type="duplicateValues" dxfId="1762" priority="1279" stopIfTrue="1"/>
  </conditionalFormatting>
  <conditionalFormatting sqref="M60">
    <cfRule type="duplicateValues" dxfId="1761" priority="1276" stopIfTrue="1"/>
  </conditionalFormatting>
  <conditionalFormatting sqref="M60">
    <cfRule type="duplicateValues" dxfId="1760" priority="1273" stopIfTrue="1"/>
    <cfRule type="duplicateValues" dxfId="1759" priority="1274" stopIfTrue="1"/>
    <cfRule type="duplicateValues" dxfId="1758" priority="1275" stopIfTrue="1"/>
  </conditionalFormatting>
  <conditionalFormatting sqref="M61">
    <cfRule type="duplicateValues" dxfId="1757" priority="1272" stopIfTrue="1"/>
  </conditionalFormatting>
  <conditionalFormatting sqref="M61">
    <cfRule type="duplicateValues" dxfId="1756" priority="1269" stopIfTrue="1"/>
    <cfRule type="duplicateValues" dxfId="1755" priority="1270" stopIfTrue="1"/>
    <cfRule type="duplicateValues" dxfId="1754" priority="1271" stopIfTrue="1"/>
  </conditionalFormatting>
  <conditionalFormatting sqref="M62">
    <cfRule type="duplicateValues" dxfId="1753" priority="1268" stopIfTrue="1"/>
  </conditionalFormatting>
  <conditionalFormatting sqref="M62">
    <cfRule type="duplicateValues" dxfId="1752" priority="1265" stopIfTrue="1"/>
    <cfRule type="duplicateValues" dxfId="1751" priority="1266" stopIfTrue="1"/>
    <cfRule type="duplicateValues" dxfId="1750" priority="1267" stopIfTrue="1"/>
  </conditionalFormatting>
  <conditionalFormatting sqref="M77">
    <cfRule type="duplicateValues" dxfId="1749" priority="1264" stopIfTrue="1"/>
  </conditionalFormatting>
  <conditionalFormatting sqref="M77">
    <cfRule type="duplicateValues" dxfId="1748" priority="1261" stopIfTrue="1"/>
    <cfRule type="duplicateValues" dxfId="1747" priority="1262" stopIfTrue="1"/>
    <cfRule type="duplicateValues" dxfId="1746" priority="1263" stopIfTrue="1"/>
  </conditionalFormatting>
  <conditionalFormatting sqref="M78">
    <cfRule type="duplicateValues" dxfId="1745" priority="1260" stopIfTrue="1"/>
  </conditionalFormatting>
  <conditionalFormatting sqref="M78">
    <cfRule type="duplicateValues" dxfId="1744" priority="1257" stopIfTrue="1"/>
    <cfRule type="duplicateValues" dxfId="1743" priority="1258" stopIfTrue="1"/>
    <cfRule type="duplicateValues" dxfId="1742" priority="1259" stopIfTrue="1"/>
  </conditionalFormatting>
  <conditionalFormatting sqref="M107">
    <cfRule type="duplicateValues" dxfId="1741" priority="1256" stopIfTrue="1"/>
  </conditionalFormatting>
  <conditionalFormatting sqref="M107">
    <cfRule type="duplicateValues" dxfId="1740" priority="1253" stopIfTrue="1"/>
    <cfRule type="duplicateValues" dxfId="1739" priority="1254" stopIfTrue="1"/>
    <cfRule type="duplicateValues" dxfId="1738" priority="1255" stopIfTrue="1"/>
  </conditionalFormatting>
  <conditionalFormatting sqref="M108">
    <cfRule type="duplicateValues" dxfId="1737" priority="1252" stopIfTrue="1"/>
  </conditionalFormatting>
  <conditionalFormatting sqref="M108">
    <cfRule type="duplicateValues" dxfId="1736" priority="1249" stopIfTrue="1"/>
    <cfRule type="duplicateValues" dxfId="1735" priority="1250" stopIfTrue="1"/>
    <cfRule type="duplicateValues" dxfId="1734" priority="1251" stopIfTrue="1"/>
  </conditionalFormatting>
  <conditionalFormatting sqref="M109">
    <cfRule type="duplicateValues" dxfId="1733" priority="1248" stopIfTrue="1"/>
  </conditionalFormatting>
  <conditionalFormatting sqref="M109">
    <cfRule type="duplicateValues" dxfId="1732" priority="1245" stopIfTrue="1"/>
    <cfRule type="duplicateValues" dxfId="1731" priority="1246" stopIfTrue="1"/>
    <cfRule type="duplicateValues" dxfId="1730" priority="1247" stopIfTrue="1"/>
  </conditionalFormatting>
  <conditionalFormatting sqref="M367:M368">
    <cfRule type="duplicateValues" dxfId="1729" priority="1244" stopIfTrue="1"/>
  </conditionalFormatting>
  <conditionalFormatting sqref="M367:M368">
    <cfRule type="duplicateValues" dxfId="1728" priority="1241" stopIfTrue="1"/>
    <cfRule type="duplicateValues" dxfId="1727" priority="1242" stopIfTrue="1"/>
    <cfRule type="duplicateValues" dxfId="1726" priority="1243" stopIfTrue="1"/>
  </conditionalFormatting>
  <conditionalFormatting sqref="M371:M373">
    <cfRule type="duplicateValues" dxfId="1725" priority="1240" stopIfTrue="1"/>
  </conditionalFormatting>
  <conditionalFormatting sqref="M371:M373">
    <cfRule type="duplicateValues" dxfId="1724" priority="1237" stopIfTrue="1"/>
    <cfRule type="duplicateValues" dxfId="1723" priority="1238" stopIfTrue="1"/>
    <cfRule type="duplicateValues" dxfId="1722" priority="1239" stopIfTrue="1"/>
  </conditionalFormatting>
  <conditionalFormatting sqref="M345:M347">
    <cfRule type="duplicateValues" dxfId="1721" priority="1236" stopIfTrue="1"/>
  </conditionalFormatting>
  <conditionalFormatting sqref="M345:M347">
    <cfRule type="duplicateValues" dxfId="1720" priority="1233" stopIfTrue="1"/>
    <cfRule type="duplicateValues" dxfId="1719" priority="1234" stopIfTrue="1"/>
    <cfRule type="duplicateValues" dxfId="1718" priority="1235" stopIfTrue="1"/>
  </conditionalFormatting>
  <conditionalFormatting sqref="M343">
    <cfRule type="duplicateValues" dxfId="1717" priority="1232" stopIfTrue="1"/>
  </conditionalFormatting>
  <conditionalFormatting sqref="M343">
    <cfRule type="duplicateValues" dxfId="1716" priority="1229" stopIfTrue="1"/>
    <cfRule type="duplicateValues" dxfId="1715" priority="1230" stopIfTrue="1"/>
    <cfRule type="duplicateValues" dxfId="1714" priority="1231" stopIfTrue="1"/>
  </conditionalFormatting>
  <conditionalFormatting sqref="M533">
    <cfRule type="duplicateValues" dxfId="1713" priority="1228" stopIfTrue="1"/>
  </conditionalFormatting>
  <conditionalFormatting sqref="M533">
    <cfRule type="duplicateValues" dxfId="1712" priority="1225" stopIfTrue="1"/>
    <cfRule type="duplicateValues" dxfId="1711" priority="1226" stopIfTrue="1"/>
    <cfRule type="duplicateValues" dxfId="1710" priority="1227" stopIfTrue="1"/>
  </conditionalFormatting>
  <conditionalFormatting sqref="M448:M451">
    <cfRule type="duplicateValues" dxfId="1709" priority="1224" stopIfTrue="1"/>
  </conditionalFormatting>
  <conditionalFormatting sqref="M448:M451">
    <cfRule type="duplicateValues" dxfId="1708" priority="1221" stopIfTrue="1"/>
    <cfRule type="duplicateValues" dxfId="1707" priority="1222" stopIfTrue="1"/>
    <cfRule type="duplicateValues" dxfId="1706" priority="1223" stopIfTrue="1"/>
  </conditionalFormatting>
  <conditionalFormatting sqref="M383 M375">
    <cfRule type="duplicateValues" dxfId="1705" priority="1218" stopIfTrue="1"/>
    <cfRule type="duplicateValues" dxfId="1704" priority="1219" stopIfTrue="1"/>
    <cfRule type="duplicateValues" dxfId="1703" priority="1220" stopIfTrue="1"/>
  </conditionalFormatting>
  <conditionalFormatting sqref="M383 M375">
    <cfRule type="duplicateValues" dxfId="1702" priority="1217" stopIfTrue="1"/>
  </conditionalFormatting>
  <conditionalFormatting sqref="M392">
    <cfRule type="duplicateValues" dxfId="1701" priority="1216" stopIfTrue="1"/>
  </conditionalFormatting>
  <conditionalFormatting sqref="M392">
    <cfRule type="duplicateValues" dxfId="1700" priority="1213" stopIfTrue="1"/>
    <cfRule type="duplicateValues" dxfId="1699" priority="1214" stopIfTrue="1"/>
    <cfRule type="duplicateValues" dxfId="1698" priority="1215" stopIfTrue="1"/>
  </conditionalFormatting>
  <conditionalFormatting sqref="M391">
    <cfRule type="duplicateValues" dxfId="1697" priority="1212" stopIfTrue="1"/>
  </conditionalFormatting>
  <conditionalFormatting sqref="M391">
    <cfRule type="duplicateValues" dxfId="1696" priority="1209" stopIfTrue="1"/>
    <cfRule type="duplicateValues" dxfId="1695" priority="1210" stopIfTrue="1"/>
    <cfRule type="duplicateValues" dxfId="1694" priority="1211" stopIfTrue="1"/>
  </conditionalFormatting>
  <conditionalFormatting sqref="M341">
    <cfRule type="duplicateValues" dxfId="1693" priority="1208" stopIfTrue="1"/>
  </conditionalFormatting>
  <conditionalFormatting sqref="M341">
    <cfRule type="duplicateValues" dxfId="1692" priority="1205" stopIfTrue="1"/>
    <cfRule type="duplicateValues" dxfId="1691" priority="1206" stopIfTrue="1"/>
    <cfRule type="duplicateValues" dxfId="1690" priority="1207" stopIfTrue="1"/>
  </conditionalFormatting>
  <conditionalFormatting sqref="M342">
    <cfRule type="duplicateValues" dxfId="1689" priority="1204" stopIfTrue="1"/>
  </conditionalFormatting>
  <conditionalFormatting sqref="M342">
    <cfRule type="duplicateValues" dxfId="1688" priority="1201" stopIfTrue="1"/>
    <cfRule type="duplicateValues" dxfId="1687" priority="1202" stopIfTrue="1"/>
    <cfRule type="duplicateValues" dxfId="1686" priority="1203" stopIfTrue="1"/>
  </conditionalFormatting>
  <conditionalFormatting sqref="M340">
    <cfRule type="duplicateValues" dxfId="1685" priority="1200" stopIfTrue="1"/>
  </conditionalFormatting>
  <conditionalFormatting sqref="M340">
    <cfRule type="duplicateValues" dxfId="1684" priority="1197" stopIfTrue="1"/>
    <cfRule type="duplicateValues" dxfId="1683" priority="1198" stopIfTrue="1"/>
    <cfRule type="duplicateValues" dxfId="1682" priority="1199" stopIfTrue="1"/>
  </conditionalFormatting>
  <conditionalFormatting sqref="M92">
    <cfRule type="duplicateValues" dxfId="1681" priority="1196" stopIfTrue="1"/>
  </conditionalFormatting>
  <conditionalFormatting sqref="M92">
    <cfRule type="duplicateValues" dxfId="1680" priority="1193" stopIfTrue="1"/>
    <cfRule type="duplicateValues" dxfId="1679" priority="1194" stopIfTrue="1"/>
    <cfRule type="duplicateValues" dxfId="1678" priority="1195" stopIfTrue="1"/>
  </conditionalFormatting>
  <conditionalFormatting sqref="F118">
    <cfRule type="duplicateValues" dxfId="1677" priority="1192" stopIfTrue="1"/>
  </conditionalFormatting>
  <conditionalFormatting sqref="F118">
    <cfRule type="duplicateValues" dxfId="1676" priority="1189" stopIfTrue="1"/>
    <cfRule type="duplicateValues" dxfId="1675" priority="1190" stopIfTrue="1"/>
    <cfRule type="duplicateValues" dxfId="1674" priority="1191" stopIfTrue="1"/>
  </conditionalFormatting>
  <conditionalFormatting sqref="M63:M69">
    <cfRule type="duplicateValues" dxfId="1673" priority="1188" stopIfTrue="1"/>
  </conditionalFormatting>
  <conditionalFormatting sqref="M63:M69">
    <cfRule type="duplicateValues" dxfId="1672" priority="1185" stopIfTrue="1"/>
    <cfRule type="duplicateValues" dxfId="1671" priority="1186" stopIfTrue="1"/>
    <cfRule type="duplicateValues" dxfId="1670" priority="1187" stopIfTrue="1"/>
  </conditionalFormatting>
  <conditionalFormatting sqref="M156">
    <cfRule type="duplicateValues" dxfId="1669" priority="1184" stopIfTrue="1"/>
  </conditionalFormatting>
  <conditionalFormatting sqref="M156">
    <cfRule type="duplicateValues" dxfId="1668" priority="1181" stopIfTrue="1"/>
    <cfRule type="duplicateValues" dxfId="1667" priority="1182" stopIfTrue="1"/>
    <cfRule type="duplicateValues" dxfId="1666" priority="1183" stopIfTrue="1"/>
  </conditionalFormatting>
  <conditionalFormatting sqref="M278">
    <cfRule type="duplicateValues" dxfId="1665" priority="1180" stopIfTrue="1"/>
  </conditionalFormatting>
  <conditionalFormatting sqref="M278">
    <cfRule type="duplicateValues" dxfId="1664" priority="1177" stopIfTrue="1"/>
    <cfRule type="duplicateValues" dxfId="1663" priority="1178" stopIfTrue="1"/>
    <cfRule type="duplicateValues" dxfId="1662" priority="1179" stopIfTrue="1"/>
  </conditionalFormatting>
  <conditionalFormatting sqref="M268">
    <cfRule type="duplicateValues" dxfId="1661" priority="1176" stopIfTrue="1"/>
  </conditionalFormatting>
  <conditionalFormatting sqref="M268">
    <cfRule type="duplicateValues" dxfId="1660" priority="1173" stopIfTrue="1"/>
    <cfRule type="duplicateValues" dxfId="1659" priority="1174" stopIfTrue="1"/>
    <cfRule type="duplicateValues" dxfId="1658" priority="1175" stopIfTrue="1"/>
  </conditionalFormatting>
  <conditionalFormatting sqref="M269:M271">
    <cfRule type="duplicateValues" dxfId="1657" priority="1172" stopIfTrue="1"/>
  </conditionalFormatting>
  <conditionalFormatting sqref="M269:M271">
    <cfRule type="duplicateValues" dxfId="1656" priority="1169" stopIfTrue="1"/>
    <cfRule type="duplicateValues" dxfId="1655" priority="1170" stopIfTrue="1"/>
    <cfRule type="duplicateValues" dxfId="1654" priority="1171" stopIfTrue="1"/>
  </conditionalFormatting>
  <conditionalFormatting sqref="F472">
    <cfRule type="duplicateValues" dxfId="1653" priority="1168" stopIfTrue="1"/>
  </conditionalFormatting>
  <conditionalFormatting sqref="F472">
    <cfRule type="duplicateValues" dxfId="1652" priority="1165" stopIfTrue="1"/>
    <cfRule type="duplicateValues" dxfId="1651" priority="1166" stopIfTrue="1"/>
    <cfRule type="duplicateValues" dxfId="1650" priority="1167" stopIfTrue="1"/>
  </conditionalFormatting>
  <conditionalFormatting sqref="M393:M395">
    <cfRule type="duplicateValues" dxfId="1649" priority="1164" stopIfTrue="1"/>
  </conditionalFormatting>
  <conditionalFormatting sqref="M393:M395">
    <cfRule type="duplicateValues" dxfId="1648" priority="1161" stopIfTrue="1"/>
    <cfRule type="duplicateValues" dxfId="1647" priority="1162" stopIfTrue="1"/>
    <cfRule type="duplicateValues" dxfId="1646" priority="1163" stopIfTrue="1"/>
  </conditionalFormatting>
  <conditionalFormatting sqref="M79">
    <cfRule type="duplicateValues" dxfId="1645" priority="1160" stopIfTrue="1"/>
  </conditionalFormatting>
  <conditionalFormatting sqref="M79">
    <cfRule type="duplicateValues" dxfId="1644" priority="1157" stopIfTrue="1"/>
    <cfRule type="duplicateValues" dxfId="1643" priority="1158" stopIfTrue="1"/>
    <cfRule type="duplicateValues" dxfId="1642" priority="1159" stopIfTrue="1"/>
  </conditionalFormatting>
  <conditionalFormatting sqref="M80">
    <cfRule type="duplicateValues" dxfId="1641" priority="1156" stopIfTrue="1"/>
  </conditionalFormatting>
  <conditionalFormatting sqref="M80">
    <cfRule type="duplicateValues" dxfId="1640" priority="1153" stopIfTrue="1"/>
    <cfRule type="duplicateValues" dxfId="1639" priority="1154" stopIfTrue="1"/>
    <cfRule type="duplicateValues" dxfId="1638" priority="1155" stopIfTrue="1"/>
  </conditionalFormatting>
  <conditionalFormatting sqref="M81:M82">
    <cfRule type="duplicateValues" dxfId="1637" priority="1152" stopIfTrue="1"/>
  </conditionalFormatting>
  <conditionalFormatting sqref="M81:M82">
    <cfRule type="duplicateValues" dxfId="1636" priority="1149" stopIfTrue="1"/>
    <cfRule type="duplicateValues" dxfId="1635" priority="1150" stopIfTrue="1"/>
    <cfRule type="duplicateValues" dxfId="1634" priority="1151" stopIfTrue="1"/>
  </conditionalFormatting>
  <conditionalFormatting sqref="M189">
    <cfRule type="duplicateValues" dxfId="1633" priority="1148" stopIfTrue="1"/>
  </conditionalFormatting>
  <conditionalFormatting sqref="M189">
    <cfRule type="duplicateValues" dxfId="1632" priority="1145" stopIfTrue="1"/>
    <cfRule type="duplicateValues" dxfId="1631" priority="1146" stopIfTrue="1"/>
    <cfRule type="duplicateValues" dxfId="1630" priority="1147" stopIfTrue="1"/>
  </conditionalFormatting>
  <conditionalFormatting sqref="O366">
    <cfRule type="duplicateValues" dxfId="1629" priority="1144" stopIfTrue="1"/>
  </conditionalFormatting>
  <conditionalFormatting sqref="O366">
    <cfRule type="duplicateValues" dxfId="1628" priority="1141" stopIfTrue="1"/>
    <cfRule type="duplicateValues" dxfId="1627" priority="1142" stopIfTrue="1"/>
    <cfRule type="duplicateValues" dxfId="1626" priority="1143" stopIfTrue="1"/>
  </conditionalFormatting>
  <conditionalFormatting sqref="A6">
    <cfRule type="duplicateValues" dxfId="1625" priority="1140" stopIfTrue="1"/>
  </conditionalFormatting>
  <conditionalFormatting sqref="A6">
    <cfRule type="duplicateValues" dxfId="1624" priority="1137" stopIfTrue="1"/>
    <cfRule type="duplicateValues" dxfId="1623" priority="1138" stopIfTrue="1"/>
    <cfRule type="duplicateValues" dxfId="1622" priority="1139" stopIfTrue="1"/>
  </conditionalFormatting>
  <conditionalFormatting sqref="A7">
    <cfRule type="duplicateValues" dxfId="1621" priority="1136" stopIfTrue="1"/>
  </conditionalFormatting>
  <conditionalFormatting sqref="A7">
    <cfRule type="duplicateValues" dxfId="1620" priority="1133" stopIfTrue="1"/>
    <cfRule type="duplicateValues" dxfId="1619" priority="1134" stopIfTrue="1"/>
    <cfRule type="duplicateValues" dxfId="1618" priority="1135" stopIfTrue="1"/>
  </conditionalFormatting>
  <conditionalFormatting sqref="A9">
    <cfRule type="duplicateValues" dxfId="1617" priority="1132" stopIfTrue="1"/>
  </conditionalFormatting>
  <conditionalFormatting sqref="A9">
    <cfRule type="duplicateValues" dxfId="1616" priority="1129" stopIfTrue="1"/>
    <cfRule type="duplicateValues" dxfId="1615" priority="1130" stopIfTrue="1"/>
    <cfRule type="duplicateValues" dxfId="1614" priority="1131" stopIfTrue="1"/>
  </conditionalFormatting>
  <conditionalFormatting sqref="B6">
    <cfRule type="duplicateValues" dxfId="1613" priority="1128" stopIfTrue="1"/>
  </conditionalFormatting>
  <conditionalFormatting sqref="B6">
    <cfRule type="duplicateValues" dxfId="1612" priority="1125" stopIfTrue="1"/>
    <cfRule type="duplicateValues" dxfId="1611" priority="1126" stopIfTrue="1"/>
    <cfRule type="duplicateValues" dxfId="1610" priority="1127" stopIfTrue="1"/>
  </conditionalFormatting>
  <conditionalFormatting sqref="B7">
    <cfRule type="duplicateValues" dxfId="1609" priority="1124" stopIfTrue="1"/>
  </conditionalFormatting>
  <conditionalFormatting sqref="B7">
    <cfRule type="duplicateValues" dxfId="1608" priority="1121" stopIfTrue="1"/>
    <cfRule type="duplicateValues" dxfId="1607" priority="1122" stopIfTrue="1"/>
    <cfRule type="duplicateValues" dxfId="1606" priority="1123" stopIfTrue="1"/>
  </conditionalFormatting>
  <conditionalFormatting sqref="B8:B9">
    <cfRule type="duplicateValues" dxfId="1605" priority="1120" stopIfTrue="1"/>
  </conditionalFormatting>
  <conditionalFormatting sqref="B8:B9">
    <cfRule type="duplicateValues" dxfId="1604" priority="1117" stopIfTrue="1"/>
    <cfRule type="duplicateValues" dxfId="1603" priority="1118" stopIfTrue="1"/>
    <cfRule type="duplicateValues" dxfId="1602" priority="1119" stopIfTrue="1"/>
  </conditionalFormatting>
  <conditionalFormatting sqref="A543:A544">
    <cfRule type="duplicateValues" dxfId="1601" priority="1112" stopIfTrue="1"/>
  </conditionalFormatting>
  <conditionalFormatting sqref="A543:A544">
    <cfRule type="duplicateValues" dxfId="1600" priority="1109" stopIfTrue="1"/>
    <cfRule type="duplicateValues" dxfId="1599" priority="1110" stopIfTrue="1"/>
    <cfRule type="duplicateValues" dxfId="1598" priority="1111" stopIfTrue="1"/>
  </conditionalFormatting>
  <conditionalFormatting sqref="B542:B544">
    <cfRule type="duplicateValues" dxfId="1597" priority="1108" stopIfTrue="1"/>
  </conditionalFormatting>
  <conditionalFormatting sqref="B542:B544">
    <cfRule type="duplicateValues" dxfId="1596" priority="1105" stopIfTrue="1"/>
    <cfRule type="duplicateValues" dxfId="1595" priority="1106" stopIfTrue="1"/>
    <cfRule type="duplicateValues" dxfId="1594" priority="1107" stopIfTrue="1"/>
  </conditionalFormatting>
  <conditionalFormatting sqref="B541">
    <cfRule type="duplicateValues" dxfId="1593" priority="1104" stopIfTrue="1"/>
  </conditionalFormatting>
  <conditionalFormatting sqref="B541">
    <cfRule type="duplicateValues" dxfId="1592" priority="1101" stopIfTrue="1"/>
    <cfRule type="duplicateValues" dxfId="1591" priority="1102" stopIfTrue="1"/>
    <cfRule type="duplicateValues" dxfId="1590" priority="1103" stopIfTrue="1"/>
  </conditionalFormatting>
  <conditionalFormatting sqref="B549:B550">
    <cfRule type="duplicateValues" dxfId="1589" priority="1100" stopIfTrue="1"/>
  </conditionalFormatting>
  <conditionalFormatting sqref="B549:B550">
    <cfRule type="duplicateValues" dxfId="1588" priority="1097" stopIfTrue="1"/>
    <cfRule type="duplicateValues" dxfId="1587" priority="1098" stopIfTrue="1"/>
    <cfRule type="duplicateValues" dxfId="1586" priority="1099" stopIfTrue="1"/>
  </conditionalFormatting>
  <conditionalFormatting sqref="B558:B560">
    <cfRule type="duplicateValues" dxfId="1585" priority="1096" stopIfTrue="1"/>
  </conditionalFormatting>
  <conditionalFormatting sqref="B558:B560">
    <cfRule type="duplicateValues" dxfId="1584" priority="1093" stopIfTrue="1"/>
    <cfRule type="duplicateValues" dxfId="1583" priority="1094" stopIfTrue="1"/>
    <cfRule type="duplicateValues" dxfId="1582" priority="1095" stopIfTrue="1"/>
  </conditionalFormatting>
  <conditionalFormatting sqref="A9">
    <cfRule type="duplicateValues" dxfId="1581" priority="1092" stopIfTrue="1"/>
  </conditionalFormatting>
  <conditionalFormatting sqref="A9">
    <cfRule type="duplicateValues" dxfId="1580" priority="1089" stopIfTrue="1"/>
    <cfRule type="duplicateValues" dxfId="1579" priority="1090" stopIfTrue="1"/>
    <cfRule type="duplicateValues" dxfId="1578" priority="1091" stopIfTrue="1"/>
  </conditionalFormatting>
  <conditionalFormatting sqref="B9">
    <cfRule type="duplicateValues" dxfId="1577" priority="1088" stopIfTrue="1"/>
  </conditionalFormatting>
  <conditionalFormatting sqref="B9">
    <cfRule type="duplicateValues" dxfId="1576" priority="1085" stopIfTrue="1"/>
    <cfRule type="duplicateValues" dxfId="1575" priority="1086" stopIfTrue="1"/>
    <cfRule type="duplicateValues" dxfId="1574" priority="1087" stopIfTrue="1"/>
  </conditionalFormatting>
  <conditionalFormatting sqref="M442:M447">
    <cfRule type="duplicateValues" dxfId="1573" priority="1084" stopIfTrue="1"/>
  </conditionalFormatting>
  <conditionalFormatting sqref="M442:M447">
    <cfRule type="duplicateValues" dxfId="1572" priority="1081" stopIfTrue="1"/>
    <cfRule type="duplicateValues" dxfId="1571" priority="1082" stopIfTrue="1"/>
    <cfRule type="duplicateValues" dxfId="1570" priority="1083" stopIfTrue="1"/>
  </conditionalFormatting>
  <conditionalFormatting sqref="A10">
    <cfRule type="duplicateValues" dxfId="1569" priority="1080" stopIfTrue="1"/>
  </conditionalFormatting>
  <conditionalFormatting sqref="A10">
    <cfRule type="duplicateValues" dxfId="1568" priority="1077" stopIfTrue="1"/>
    <cfRule type="duplicateValues" dxfId="1567" priority="1078" stopIfTrue="1"/>
    <cfRule type="duplicateValues" dxfId="1566" priority="1079" stopIfTrue="1"/>
  </conditionalFormatting>
  <conditionalFormatting sqref="B10">
    <cfRule type="duplicateValues" dxfId="1565" priority="1076" stopIfTrue="1"/>
  </conditionalFormatting>
  <conditionalFormatting sqref="B10">
    <cfRule type="duplicateValues" dxfId="1564" priority="1073" stopIfTrue="1"/>
    <cfRule type="duplicateValues" dxfId="1563" priority="1074" stopIfTrue="1"/>
    <cfRule type="duplicateValues" dxfId="1562" priority="1075" stopIfTrue="1"/>
  </conditionalFormatting>
  <conditionalFormatting sqref="M197:M198">
    <cfRule type="duplicateValues" dxfId="1561" priority="1072" stopIfTrue="1"/>
  </conditionalFormatting>
  <conditionalFormatting sqref="M197:M198">
    <cfRule type="duplicateValues" dxfId="1560" priority="1069" stopIfTrue="1"/>
    <cfRule type="duplicateValues" dxfId="1559" priority="1070" stopIfTrue="1"/>
    <cfRule type="duplicateValues" dxfId="1558" priority="1071" stopIfTrue="1"/>
  </conditionalFormatting>
  <conditionalFormatting sqref="B553:B555">
    <cfRule type="duplicateValues" dxfId="1557" priority="1068" stopIfTrue="1"/>
  </conditionalFormatting>
  <conditionalFormatting sqref="B553:B555">
    <cfRule type="duplicateValues" dxfId="1556" priority="1065" stopIfTrue="1"/>
    <cfRule type="duplicateValues" dxfId="1555" priority="1066" stopIfTrue="1"/>
    <cfRule type="duplicateValues" dxfId="1554" priority="1067" stopIfTrue="1"/>
  </conditionalFormatting>
  <conditionalFormatting sqref="B544">
    <cfRule type="duplicateValues" dxfId="1553" priority="1064" stopIfTrue="1"/>
  </conditionalFormatting>
  <conditionalFormatting sqref="B544">
    <cfRule type="duplicateValues" dxfId="1552" priority="1061" stopIfTrue="1"/>
    <cfRule type="duplicateValues" dxfId="1551" priority="1062" stopIfTrue="1"/>
    <cfRule type="duplicateValues" dxfId="1550" priority="1063" stopIfTrue="1"/>
  </conditionalFormatting>
  <conditionalFormatting sqref="M252:M253">
    <cfRule type="duplicateValues" dxfId="1549" priority="1060" stopIfTrue="1"/>
  </conditionalFormatting>
  <conditionalFormatting sqref="M252:M253">
    <cfRule type="duplicateValues" dxfId="1548" priority="1057" stopIfTrue="1"/>
    <cfRule type="duplicateValues" dxfId="1547" priority="1058" stopIfTrue="1"/>
    <cfRule type="duplicateValues" dxfId="1546" priority="1059" stopIfTrue="1"/>
  </conditionalFormatting>
  <conditionalFormatting sqref="M319">
    <cfRule type="duplicateValues" dxfId="1545" priority="1056" stopIfTrue="1"/>
  </conditionalFormatting>
  <conditionalFormatting sqref="M319">
    <cfRule type="duplicateValues" dxfId="1544" priority="1053" stopIfTrue="1"/>
    <cfRule type="duplicateValues" dxfId="1543" priority="1054" stopIfTrue="1"/>
    <cfRule type="duplicateValues" dxfId="1542" priority="1055" stopIfTrue="1"/>
  </conditionalFormatting>
  <conditionalFormatting sqref="M428">
    <cfRule type="duplicateValues" dxfId="1541" priority="1052" stopIfTrue="1"/>
  </conditionalFormatting>
  <conditionalFormatting sqref="M428">
    <cfRule type="duplicateValues" dxfId="1540" priority="1049" stopIfTrue="1"/>
    <cfRule type="duplicateValues" dxfId="1539" priority="1050" stopIfTrue="1"/>
    <cfRule type="duplicateValues" dxfId="1538" priority="1051" stopIfTrue="1"/>
  </conditionalFormatting>
  <conditionalFormatting sqref="M75">
    <cfRule type="duplicateValues" dxfId="1537" priority="1048" stopIfTrue="1"/>
  </conditionalFormatting>
  <conditionalFormatting sqref="M75">
    <cfRule type="duplicateValues" dxfId="1536" priority="1045" stopIfTrue="1"/>
    <cfRule type="duplicateValues" dxfId="1535" priority="1046" stopIfTrue="1"/>
    <cfRule type="duplicateValues" dxfId="1534" priority="1047" stopIfTrue="1"/>
  </conditionalFormatting>
  <conditionalFormatting sqref="M83:M84">
    <cfRule type="duplicateValues" dxfId="1533" priority="1044" stopIfTrue="1"/>
  </conditionalFormatting>
  <conditionalFormatting sqref="M83:M84">
    <cfRule type="duplicateValues" dxfId="1532" priority="1041" stopIfTrue="1"/>
    <cfRule type="duplicateValues" dxfId="1531" priority="1042" stopIfTrue="1"/>
    <cfRule type="duplicateValues" dxfId="1530" priority="1043" stopIfTrue="1"/>
  </conditionalFormatting>
  <conditionalFormatting sqref="M87:M88">
    <cfRule type="duplicateValues" dxfId="1529" priority="1040" stopIfTrue="1"/>
  </conditionalFormatting>
  <conditionalFormatting sqref="M87:M88">
    <cfRule type="duplicateValues" dxfId="1528" priority="1037" stopIfTrue="1"/>
    <cfRule type="duplicateValues" dxfId="1527" priority="1038" stopIfTrue="1"/>
    <cfRule type="duplicateValues" dxfId="1526" priority="1039" stopIfTrue="1"/>
  </conditionalFormatting>
  <conditionalFormatting sqref="M94:M95">
    <cfRule type="duplicateValues" dxfId="1525" priority="1036" stopIfTrue="1"/>
  </conditionalFormatting>
  <conditionalFormatting sqref="M94:M95">
    <cfRule type="duplicateValues" dxfId="1524" priority="1033" stopIfTrue="1"/>
    <cfRule type="duplicateValues" dxfId="1523" priority="1034" stopIfTrue="1"/>
    <cfRule type="duplicateValues" dxfId="1522" priority="1035" stopIfTrue="1"/>
  </conditionalFormatting>
  <conditionalFormatting sqref="M100:M101">
    <cfRule type="duplicateValues" dxfId="1521" priority="1032" stopIfTrue="1"/>
  </conditionalFormatting>
  <conditionalFormatting sqref="M100:M101">
    <cfRule type="duplicateValues" dxfId="1520" priority="1029" stopIfTrue="1"/>
    <cfRule type="duplicateValues" dxfId="1519" priority="1030" stopIfTrue="1"/>
    <cfRule type="duplicateValues" dxfId="1518" priority="1031" stopIfTrue="1"/>
  </conditionalFormatting>
  <conditionalFormatting sqref="M103:M105">
    <cfRule type="duplicateValues" dxfId="1517" priority="1028" stopIfTrue="1"/>
  </conditionalFormatting>
  <conditionalFormatting sqref="M103:M105">
    <cfRule type="duplicateValues" dxfId="1516" priority="1025" stopIfTrue="1"/>
    <cfRule type="duplicateValues" dxfId="1515" priority="1026" stopIfTrue="1"/>
    <cfRule type="duplicateValues" dxfId="1514" priority="1027" stopIfTrue="1"/>
  </conditionalFormatting>
  <conditionalFormatting sqref="M110:M111">
    <cfRule type="duplicateValues" dxfId="1513" priority="1024" stopIfTrue="1"/>
  </conditionalFormatting>
  <conditionalFormatting sqref="M110:M111">
    <cfRule type="duplicateValues" dxfId="1512" priority="1021" stopIfTrue="1"/>
    <cfRule type="duplicateValues" dxfId="1511" priority="1022" stopIfTrue="1"/>
    <cfRule type="duplicateValues" dxfId="1510" priority="1023" stopIfTrue="1"/>
  </conditionalFormatting>
  <conditionalFormatting sqref="M116">
    <cfRule type="duplicateValues" dxfId="1509" priority="1020" stopIfTrue="1"/>
  </conditionalFormatting>
  <conditionalFormatting sqref="M116">
    <cfRule type="duplicateValues" dxfId="1508" priority="1017" stopIfTrue="1"/>
    <cfRule type="duplicateValues" dxfId="1507" priority="1018" stopIfTrue="1"/>
    <cfRule type="duplicateValues" dxfId="1506" priority="1019" stopIfTrue="1"/>
  </conditionalFormatting>
  <conditionalFormatting sqref="M161">
    <cfRule type="duplicateValues" dxfId="1505" priority="1016" stopIfTrue="1"/>
  </conditionalFormatting>
  <conditionalFormatting sqref="M161">
    <cfRule type="duplicateValues" dxfId="1504" priority="1013" stopIfTrue="1"/>
    <cfRule type="duplicateValues" dxfId="1503" priority="1014" stopIfTrue="1"/>
    <cfRule type="duplicateValues" dxfId="1502" priority="1015" stopIfTrue="1"/>
  </conditionalFormatting>
  <conditionalFormatting sqref="M187 M180:M181 M184:M185">
    <cfRule type="duplicateValues" dxfId="1501" priority="1012" stopIfTrue="1"/>
  </conditionalFormatting>
  <conditionalFormatting sqref="M187 M180:M181 M184:M185">
    <cfRule type="duplicateValues" dxfId="1500" priority="1009" stopIfTrue="1"/>
    <cfRule type="duplicateValues" dxfId="1499" priority="1010" stopIfTrue="1"/>
    <cfRule type="duplicateValues" dxfId="1498" priority="1011" stopIfTrue="1"/>
  </conditionalFormatting>
  <conditionalFormatting sqref="M190:M192">
    <cfRule type="duplicateValues" dxfId="1497" priority="1008" stopIfTrue="1"/>
  </conditionalFormatting>
  <conditionalFormatting sqref="M190:M192">
    <cfRule type="duplicateValues" dxfId="1496" priority="1005" stopIfTrue="1"/>
    <cfRule type="duplicateValues" dxfId="1495" priority="1006" stopIfTrue="1"/>
    <cfRule type="duplicateValues" dxfId="1494" priority="1007" stopIfTrue="1"/>
  </conditionalFormatting>
  <conditionalFormatting sqref="M205:M206">
    <cfRule type="duplicateValues" dxfId="1493" priority="1004" stopIfTrue="1"/>
  </conditionalFormatting>
  <conditionalFormatting sqref="M205:M206">
    <cfRule type="duplicateValues" dxfId="1492" priority="1001" stopIfTrue="1"/>
    <cfRule type="duplicateValues" dxfId="1491" priority="1002" stopIfTrue="1"/>
    <cfRule type="duplicateValues" dxfId="1490" priority="1003" stopIfTrue="1"/>
  </conditionalFormatting>
  <conditionalFormatting sqref="M209:M212">
    <cfRule type="duplicateValues" dxfId="1489" priority="1000" stopIfTrue="1"/>
  </conditionalFormatting>
  <conditionalFormatting sqref="M209:M212">
    <cfRule type="duplicateValues" dxfId="1488" priority="997" stopIfTrue="1"/>
    <cfRule type="duplicateValues" dxfId="1487" priority="998" stopIfTrue="1"/>
    <cfRule type="duplicateValues" dxfId="1486" priority="999" stopIfTrue="1"/>
  </conditionalFormatting>
  <conditionalFormatting sqref="M227:M230">
    <cfRule type="duplicateValues" dxfId="1485" priority="996" stopIfTrue="1"/>
  </conditionalFormatting>
  <conditionalFormatting sqref="M227:M230">
    <cfRule type="duplicateValues" dxfId="1484" priority="993" stopIfTrue="1"/>
    <cfRule type="duplicateValues" dxfId="1483" priority="994" stopIfTrue="1"/>
    <cfRule type="duplicateValues" dxfId="1482" priority="995" stopIfTrue="1"/>
  </conditionalFormatting>
  <conditionalFormatting sqref="M235:M236 M238:M242">
    <cfRule type="duplicateValues" dxfId="1481" priority="992" stopIfTrue="1"/>
  </conditionalFormatting>
  <conditionalFormatting sqref="M235:M236 M238:M242">
    <cfRule type="duplicateValues" dxfId="1480" priority="989" stopIfTrue="1"/>
    <cfRule type="duplicateValues" dxfId="1479" priority="990" stopIfTrue="1"/>
    <cfRule type="duplicateValues" dxfId="1478" priority="991" stopIfTrue="1"/>
  </conditionalFormatting>
  <conditionalFormatting sqref="M303">
    <cfRule type="duplicateValues" dxfId="1477" priority="988" stopIfTrue="1"/>
  </conditionalFormatting>
  <conditionalFormatting sqref="M303">
    <cfRule type="duplicateValues" dxfId="1476" priority="985" stopIfTrue="1"/>
    <cfRule type="duplicateValues" dxfId="1475" priority="986" stopIfTrue="1"/>
    <cfRule type="duplicateValues" dxfId="1474" priority="987" stopIfTrue="1"/>
  </conditionalFormatting>
  <conditionalFormatting sqref="M311:M318">
    <cfRule type="duplicateValues" dxfId="1473" priority="984" stopIfTrue="1"/>
  </conditionalFormatting>
  <conditionalFormatting sqref="M311:M318">
    <cfRule type="duplicateValues" dxfId="1472" priority="981" stopIfTrue="1"/>
    <cfRule type="duplicateValues" dxfId="1471" priority="982" stopIfTrue="1"/>
    <cfRule type="duplicateValues" dxfId="1470" priority="983" stopIfTrue="1"/>
  </conditionalFormatting>
  <conditionalFormatting sqref="M322">
    <cfRule type="duplicateValues" dxfId="1469" priority="980" stopIfTrue="1"/>
  </conditionalFormatting>
  <conditionalFormatting sqref="M322">
    <cfRule type="duplicateValues" dxfId="1468" priority="977" stopIfTrue="1"/>
    <cfRule type="duplicateValues" dxfId="1467" priority="978" stopIfTrue="1"/>
    <cfRule type="duplicateValues" dxfId="1466" priority="979" stopIfTrue="1"/>
  </conditionalFormatting>
  <conditionalFormatting sqref="M355">
    <cfRule type="duplicateValues" dxfId="1465" priority="976" stopIfTrue="1"/>
  </conditionalFormatting>
  <conditionalFormatting sqref="M355">
    <cfRule type="duplicateValues" dxfId="1464" priority="973" stopIfTrue="1"/>
    <cfRule type="duplicateValues" dxfId="1463" priority="974" stopIfTrue="1"/>
    <cfRule type="duplicateValues" dxfId="1462" priority="975" stopIfTrue="1"/>
  </conditionalFormatting>
  <conditionalFormatting sqref="M357">
    <cfRule type="duplicateValues" dxfId="1461" priority="972" stopIfTrue="1"/>
  </conditionalFormatting>
  <conditionalFormatting sqref="M357">
    <cfRule type="duplicateValues" dxfId="1460" priority="969" stopIfTrue="1"/>
    <cfRule type="duplicateValues" dxfId="1459" priority="970" stopIfTrue="1"/>
    <cfRule type="duplicateValues" dxfId="1458" priority="971" stopIfTrue="1"/>
  </conditionalFormatting>
  <conditionalFormatting sqref="M364 M362">
    <cfRule type="duplicateValues" dxfId="1457" priority="968" stopIfTrue="1"/>
  </conditionalFormatting>
  <conditionalFormatting sqref="M364 M362">
    <cfRule type="duplicateValues" dxfId="1456" priority="965" stopIfTrue="1"/>
    <cfRule type="duplicateValues" dxfId="1455" priority="966" stopIfTrue="1"/>
    <cfRule type="duplicateValues" dxfId="1454" priority="967" stopIfTrue="1"/>
  </conditionalFormatting>
  <conditionalFormatting sqref="M402:M403">
    <cfRule type="duplicateValues" dxfId="1453" priority="964" stopIfTrue="1"/>
  </conditionalFormatting>
  <conditionalFormatting sqref="M402:M403">
    <cfRule type="duplicateValues" dxfId="1452" priority="961" stopIfTrue="1"/>
    <cfRule type="duplicateValues" dxfId="1451" priority="962" stopIfTrue="1"/>
    <cfRule type="duplicateValues" dxfId="1450" priority="963" stopIfTrue="1"/>
  </conditionalFormatting>
  <conditionalFormatting sqref="M405:M408">
    <cfRule type="duplicateValues" dxfId="1449" priority="960" stopIfTrue="1"/>
  </conditionalFormatting>
  <conditionalFormatting sqref="M405:M408">
    <cfRule type="duplicateValues" dxfId="1448" priority="957" stopIfTrue="1"/>
    <cfRule type="duplicateValues" dxfId="1447" priority="958" stopIfTrue="1"/>
    <cfRule type="duplicateValues" dxfId="1446" priority="959" stopIfTrue="1"/>
  </conditionalFormatting>
  <conditionalFormatting sqref="M420">
    <cfRule type="duplicateValues" dxfId="1445" priority="956" stopIfTrue="1"/>
  </conditionalFormatting>
  <conditionalFormatting sqref="M420">
    <cfRule type="duplicateValues" dxfId="1444" priority="953" stopIfTrue="1"/>
    <cfRule type="duplicateValues" dxfId="1443" priority="954" stopIfTrue="1"/>
    <cfRule type="duplicateValues" dxfId="1442" priority="955" stopIfTrue="1"/>
  </conditionalFormatting>
  <conditionalFormatting sqref="M463:M467">
    <cfRule type="duplicateValues" dxfId="1441" priority="952" stopIfTrue="1"/>
  </conditionalFormatting>
  <conditionalFormatting sqref="M463:M467">
    <cfRule type="duplicateValues" dxfId="1440" priority="949" stopIfTrue="1"/>
    <cfRule type="duplicateValues" dxfId="1439" priority="950" stopIfTrue="1"/>
    <cfRule type="duplicateValues" dxfId="1438" priority="951" stopIfTrue="1"/>
  </conditionalFormatting>
  <conditionalFormatting sqref="F466:F470 F463:F464">
    <cfRule type="duplicateValues" dxfId="1437" priority="948" stopIfTrue="1"/>
  </conditionalFormatting>
  <conditionalFormatting sqref="F466:F470 F463:F464">
    <cfRule type="duplicateValues" dxfId="1436" priority="945" stopIfTrue="1"/>
    <cfRule type="duplicateValues" dxfId="1435" priority="946" stopIfTrue="1"/>
    <cfRule type="duplicateValues" dxfId="1434" priority="947" stopIfTrue="1"/>
  </conditionalFormatting>
  <conditionalFormatting sqref="M529">
    <cfRule type="duplicateValues" dxfId="1433" priority="944" stopIfTrue="1"/>
  </conditionalFormatting>
  <conditionalFormatting sqref="M529">
    <cfRule type="duplicateValues" dxfId="1432" priority="941" stopIfTrue="1"/>
    <cfRule type="duplicateValues" dxfId="1431" priority="942" stopIfTrue="1"/>
    <cfRule type="duplicateValues" dxfId="1430" priority="943" stopIfTrue="1"/>
  </conditionalFormatting>
  <conditionalFormatting sqref="B546:B547">
    <cfRule type="duplicateValues" dxfId="1429" priority="940" stopIfTrue="1"/>
  </conditionalFormatting>
  <conditionalFormatting sqref="B546:B547">
    <cfRule type="duplicateValues" dxfId="1428" priority="937" stopIfTrue="1"/>
    <cfRule type="duplicateValues" dxfId="1427" priority="938" stopIfTrue="1"/>
    <cfRule type="duplicateValues" dxfId="1426" priority="939" stopIfTrue="1"/>
  </conditionalFormatting>
  <conditionalFormatting sqref="A545:A563">
    <cfRule type="duplicateValues" dxfId="1425" priority="936" stopIfTrue="1"/>
  </conditionalFormatting>
  <conditionalFormatting sqref="A545:A563">
    <cfRule type="duplicateValues" dxfId="1424" priority="933" stopIfTrue="1"/>
    <cfRule type="duplicateValues" dxfId="1423" priority="934" stopIfTrue="1"/>
    <cfRule type="duplicateValues" dxfId="1422" priority="935" stopIfTrue="1"/>
  </conditionalFormatting>
  <conditionalFormatting sqref="M473:M518 M462">
    <cfRule type="duplicateValues" dxfId="1421" priority="932" stopIfTrue="1"/>
  </conditionalFormatting>
  <conditionalFormatting sqref="M473:M518 M462">
    <cfRule type="duplicateValues" dxfId="1420" priority="929" stopIfTrue="1"/>
    <cfRule type="duplicateValues" dxfId="1419" priority="930" stopIfTrue="1"/>
    <cfRule type="duplicateValues" dxfId="1418" priority="931" stopIfTrue="1"/>
  </conditionalFormatting>
  <conditionalFormatting sqref="A8">
    <cfRule type="duplicateValues" dxfId="1417" priority="928" stopIfTrue="1"/>
  </conditionalFormatting>
  <conditionalFormatting sqref="A8">
    <cfRule type="duplicateValues" dxfId="1416" priority="925" stopIfTrue="1"/>
    <cfRule type="duplicateValues" dxfId="1415" priority="926" stopIfTrue="1"/>
    <cfRule type="duplicateValues" dxfId="1414" priority="927" stopIfTrue="1"/>
  </conditionalFormatting>
  <conditionalFormatting sqref="A16">
    <cfRule type="duplicateValues" dxfId="1413" priority="924" stopIfTrue="1"/>
  </conditionalFormatting>
  <conditionalFormatting sqref="A16">
    <cfRule type="duplicateValues" dxfId="1412" priority="921" stopIfTrue="1"/>
    <cfRule type="duplicateValues" dxfId="1411" priority="922" stopIfTrue="1"/>
    <cfRule type="duplicateValues" dxfId="1410" priority="923" stopIfTrue="1"/>
  </conditionalFormatting>
  <conditionalFormatting sqref="A17">
    <cfRule type="duplicateValues" dxfId="1409" priority="920" stopIfTrue="1"/>
  </conditionalFormatting>
  <conditionalFormatting sqref="A17">
    <cfRule type="duplicateValues" dxfId="1408" priority="917" stopIfTrue="1"/>
    <cfRule type="duplicateValues" dxfId="1407" priority="918" stopIfTrue="1"/>
    <cfRule type="duplicateValues" dxfId="1406" priority="919" stopIfTrue="1"/>
  </conditionalFormatting>
  <conditionalFormatting sqref="A18">
    <cfRule type="duplicateValues" dxfId="1405" priority="916" stopIfTrue="1"/>
  </conditionalFormatting>
  <conditionalFormatting sqref="A18">
    <cfRule type="duplicateValues" dxfId="1404" priority="913" stopIfTrue="1"/>
    <cfRule type="duplicateValues" dxfId="1403" priority="914" stopIfTrue="1"/>
    <cfRule type="duplicateValues" dxfId="1402" priority="915" stopIfTrue="1"/>
  </conditionalFormatting>
  <conditionalFormatting sqref="A19">
    <cfRule type="duplicateValues" dxfId="1401" priority="912" stopIfTrue="1"/>
  </conditionalFormatting>
  <conditionalFormatting sqref="A19">
    <cfRule type="duplicateValues" dxfId="1400" priority="909" stopIfTrue="1"/>
    <cfRule type="duplicateValues" dxfId="1399" priority="910" stopIfTrue="1"/>
    <cfRule type="duplicateValues" dxfId="1398" priority="911" stopIfTrue="1"/>
  </conditionalFormatting>
  <conditionalFormatting sqref="A20">
    <cfRule type="duplicateValues" dxfId="1397" priority="908" stopIfTrue="1"/>
  </conditionalFormatting>
  <conditionalFormatting sqref="A20">
    <cfRule type="duplicateValues" dxfId="1396" priority="905" stopIfTrue="1"/>
    <cfRule type="duplicateValues" dxfId="1395" priority="906" stopIfTrue="1"/>
    <cfRule type="duplicateValues" dxfId="1394" priority="907" stopIfTrue="1"/>
  </conditionalFormatting>
  <conditionalFormatting sqref="A25">
    <cfRule type="duplicateValues" dxfId="1393" priority="904" stopIfTrue="1"/>
  </conditionalFormatting>
  <conditionalFormatting sqref="A25">
    <cfRule type="duplicateValues" dxfId="1392" priority="901" stopIfTrue="1"/>
    <cfRule type="duplicateValues" dxfId="1391" priority="902" stopIfTrue="1"/>
    <cfRule type="duplicateValues" dxfId="1390" priority="903" stopIfTrue="1"/>
  </conditionalFormatting>
  <conditionalFormatting sqref="A27">
    <cfRule type="duplicateValues" dxfId="1389" priority="900" stopIfTrue="1"/>
  </conditionalFormatting>
  <conditionalFormatting sqref="A27">
    <cfRule type="duplicateValues" dxfId="1388" priority="897" stopIfTrue="1"/>
    <cfRule type="duplicateValues" dxfId="1387" priority="898" stopIfTrue="1"/>
    <cfRule type="duplicateValues" dxfId="1386" priority="899" stopIfTrue="1"/>
  </conditionalFormatting>
  <conditionalFormatting sqref="A28">
    <cfRule type="duplicateValues" dxfId="1385" priority="896" stopIfTrue="1"/>
  </conditionalFormatting>
  <conditionalFormatting sqref="A28">
    <cfRule type="duplicateValues" dxfId="1384" priority="893" stopIfTrue="1"/>
    <cfRule type="duplicateValues" dxfId="1383" priority="894" stopIfTrue="1"/>
    <cfRule type="duplicateValues" dxfId="1382" priority="895" stopIfTrue="1"/>
  </conditionalFormatting>
  <conditionalFormatting sqref="A29">
    <cfRule type="duplicateValues" dxfId="1381" priority="892" stopIfTrue="1"/>
  </conditionalFormatting>
  <conditionalFormatting sqref="A29">
    <cfRule type="duplicateValues" dxfId="1380" priority="889" stopIfTrue="1"/>
    <cfRule type="duplicateValues" dxfId="1379" priority="890" stopIfTrue="1"/>
    <cfRule type="duplicateValues" dxfId="1378" priority="891" stopIfTrue="1"/>
  </conditionalFormatting>
  <conditionalFormatting sqref="A30">
    <cfRule type="duplicateValues" dxfId="1377" priority="888" stopIfTrue="1"/>
  </conditionalFormatting>
  <conditionalFormatting sqref="A30">
    <cfRule type="duplicateValues" dxfId="1376" priority="885" stopIfTrue="1"/>
    <cfRule type="duplicateValues" dxfId="1375" priority="886" stopIfTrue="1"/>
    <cfRule type="duplicateValues" dxfId="1374" priority="887" stopIfTrue="1"/>
  </conditionalFormatting>
  <conditionalFormatting sqref="A36">
    <cfRule type="duplicateValues" dxfId="1373" priority="884" stopIfTrue="1"/>
  </conditionalFormatting>
  <conditionalFormatting sqref="A36">
    <cfRule type="duplicateValues" dxfId="1372" priority="881" stopIfTrue="1"/>
    <cfRule type="duplicateValues" dxfId="1371" priority="882" stopIfTrue="1"/>
    <cfRule type="duplicateValues" dxfId="1370" priority="883" stopIfTrue="1"/>
  </conditionalFormatting>
  <conditionalFormatting sqref="A37">
    <cfRule type="duplicateValues" dxfId="1369" priority="880" stopIfTrue="1"/>
  </conditionalFormatting>
  <conditionalFormatting sqref="A37">
    <cfRule type="duplicateValues" dxfId="1368" priority="877" stopIfTrue="1"/>
    <cfRule type="duplicateValues" dxfId="1367" priority="878" stopIfTrue="1"/>
    <cfRule type="duplicateValues" dxfId="1366" priority="879" stopIfTrue="1"/>
  </conditionalFormatting>
  <conditionalFormatting sqref="A38">
    <cfRule type="duplicateValues" dxfId="1365" priority="876" stopIfTrue="1"/>
  </conditionalFormatting>
  <conditionalFormatting sqref="A38">
    <cfRule type="duplicateValues" dxfId="1364" priority="873" stopIfTrue="1"/>
    <cfRule type="duplicateValues" dxfId="1363" priority="874" stopIfTrue="1"/>
    <cfRule type="duplicateValues" dxfId="1362" priority="875" stopIfTrue="1"/>
  </conditionalFormatting>
  <conditionalFormatting sqref="A39">
    <cfRule type="duplicateValues" dxfId="1361" priority="872" stopIfTrue="1"/>
  </conditionalFormatting>
  <conditionalFormatting sqref="A39">
    <cfRule type="duplicateValues" dxfId="1360" priority="869" stopIfTrue="1"/>
    <cfRule type="duplicateValues" dxfId="1359" priority="870" stopIfTrue="1"/>
    <cfRule type="duplicateValues" dxfId="1358" priority="871" stopIfTrue="1"/>
  </conditionalFormatting>
  <conditionalFormatting sqref="A40">
    <cfRule type="duplicateValues" dxfId="1357" priority="868" stopIfTrue="1"/>
  </conditionalFormatting>
  <conditionalFormatting sqref="A40">
    <cfRule type="duplicateValues" dxfId="1356" priority="865" stopIfTrue="1"/>
    <cfRule type="duplicateValues" dxfId="1355" priority="866" stopIfTrue="1"/>
    <cfRule type="duplicateValues" dxfId="1354" priority="867" stopIfTrue="1"/>
  </conditionalFormatting>
  <conditionalFormatting sqref="A49">
    <cfRule type="duplicateValues" dxfId="1353" priority="864" stopIfTrue="1"/>
  </conditionalFormatting>
  <conditionalFormatting sqref="A49">
    <cfRule type="duplicateValues" dxfId="1352" priority="861" stopIfTrue="1"/>
    <cfRule type="duplicateValues" dxfId="1351" priority="862" stopIfTrue="1"/>
    <cfRule type="duplicateValues" dxfId="1350" priority="863" stopIfTrue="1"/>
  </conditionalFormatting>
  <conditionalFormatting sqref="A51">
    <cfRule type="duplicateValues" dxfId="1349" priority="860" stopIfTrue="1"/>
  </conditionalFormatting>
  <conditionalFormatting sqref="A51">
    <cfRule type="duplicateValues" dxfId="1348" priority="857" stopIfTrue="1"/>
    <cfRule type="duplicateValues" dxfId="1347" priority="858" stopIfTrue="1"/>
    <cfRule type="duplicateValues" dxfId="1346" priority="859" stopIfTrue="1"/>
  </conditionalFormatting>
  <conditionalFormatting sqref="A52">
    <cfRule type="duplicateValues" dxfId="1345" priority="856" stopIfTrue="1"/>
  </conditionalFormatting>
  <conditionalFormatting sqref="A52">
    <cfRule type="duplicateValues" dxfId="1344" priority="853" stopIfTrue="1"/>
    <cfRule type="duplicateValues" dxfId="1343" priority="854" stopIfTrue="1"/>
    <cfRule type="duplicateValues" dxfId="1342" priority="855" stopIfTrue="1"/>
  </conditionalFormatting>
  <conditionalFormatting sqref="A57">
    <cfRule type="duplicateValues" dxfId="1341" priority="852" stopIfTrue="1"/>
  </conditionalFormatting>
  <conditionalFormatting sqref="A57">
    <cfRule type="duplicateValues" dxfId="1340" priority="849" stopIfTrue="1"/>
    <cfRule type="duplicateValues" dxfId="1339" priority="850" stopIfTrue="1"/>
    <cfRule type="duplicateValues" dxfId="1338" priority="851" stopIfTrue="1"/>
  </conditionalFormatting>
  <conditionalFormatting sqref="A54">
    <cfRule type="duplicateValues" dxfId="1337" priority="848" stopIfTrue="1"/>
  </conditionalFormatting>
  <conditionalFormatting sqref="A54">
    <cfRule type="duplicateValues" dxfId="1336" priority="845" stopIfTrue="1"/>
    <cfRule type="duplicateValues" dxfId="1335" priority="846" stopIfTrue="1"/>
    <cfRule type="duplicateValues" dxfId="1334" priority="847" stopIfTrue="1"/>
  </conditionalFormatting>
  <conditionalFormatting sqref="A55">
    <cfRule type="duplicateValues" dxfId="1333" priority="844" stopIfTrue="1"/>
  </conditionalFormatting>
  <conditionalFormatting sqref="A55">
    <cfRule type="duplicateValues" dxfId="1332" priority="841" stopIfTrue="1"/>
    <cfRule type="duplicateValues" dxfId="1331" priority="842" stopIfTrue="1"/>
    <cfRule type="duplicateValues" dxfId="1330" priority="843" stopIfTrue="1"/>
  </conditionalFormatting>
  <conditionalFormatting sqref="A56">
    <cfRule type="duplicateValues" dxfId="1329" priority="840" stopIfTrue="1"/>
  </conditionalFormatting>
  <conditionalFormatting sqref="A56">
    <cfRule type="duplicateValues" dxfId="1328" priority="837" stopIfTrue="1"/>
    <cfRule type="duplicateValues" dxfId="1327" priority="838" stopIfTrue="1"/>
    <cfRule type="duplicateValues" dxfId="1326" priority="839" stopIfTrue="1"/>
  </conditionalFormatting>
  <conditionalFormatting sqref="A61">
    <cfRule type="duplicateValues" dxfId="1325" priority="836" stopIfTrue="1"/>
  </conditionalFormatting>
  <conditionalFormatting sqref="A61">
    <cfRule type="duplicateValues" dxfId="1324" priority="833" stopIfTrue="1"/>
    <cfRule type="duplicateValues" dxfId="1323" priority="834" stopIfTrue="1"/>
    <cfRule type="duplicateValues" dxfId="1322" priority="835" stopIfTrue="1"/>
  </conditionalFormatting>
  <conditionalFormatting sqref="A60">
    <cfRule type="duplicateValues" dxfId="1321" priority="832" stopIfTrue="1"/>
  </conditionalFormatting>
  <conditionalFormatting sqref="A60">
    <cfRule type="duplicateValues" dxfId="1320" priority="829" stopIfTrue="1"/>
    <cfRule type="duplicateValues" dxfId="1319" priority="830" stopIfTrue="1"/>
    <cfRule type="duplicateValues" dxfId="1318" priority="831" stopIfTrue="1"/>
  </conditionalFormatting>
  <conditionalFormatting sqref="A62">
    <cfRule type="duplicateValues" dxfId="1317" priority="828" stopIfTrue="1"/>
  </conditionalFormatting>
  <conditionalFormatting sqref="A62">
    <cfRule type="duplicateValues" dxfId="1316" priority="825" stopIfTrue="1"/>
    <cfRule type="duplicateValues" dxfId="1315" priority="826" stopIfTrue="1"/>
    <cfRule type="duplicateValues" dxfId="1314" priority="827" stopIfTrue="1"/>
  </conditionalFormatting>
  <conditionalFormatting sqref="A63">
    <cfRule type="duplicateValues" dxfId="1313" priority="824" stopIfTrue="1"/>
  </conditionalFormatting>
  <conditionalFormatting sqref="A63">
    <cfRule type="duplicateValues" dxfId="1312" priority="821" stopIfTrue="1"/>
    <cfRule type="duplicateValues" dxfId="1311" priority="822" stopIfTrue="1"/>
    <cfRule type="duplicateValues" dxfId="1310" priority="823" stopIfTrue="1"/>
  </conditionalFormatting>
  <conditionalFormatting sqref="A64">
    <cfRule type="duplicateValues" dxfId="1309" priority="820" stopIfTrue="1"/>
  </conditionalFormatting>
  <conditionalFormatting sqref="A64">
    <cfRule type="duplicateValues" dxfId="1308" priority="817" stopIfTrue="1"/>
    <cfRule type="duplicateValues" dxfId="1307" priority="818" stopIfTrue="1"/>
    <cfRule type="duplicateValues" dxfId="1306" priority="819" stopIfTrue="1"/>
  </conditionalFormatting>
  <conditionalFormatting sqref="A68">
    <cfRule type="duplicateValues" dxfId="1305" priority="816" stopIfTrue="1"/>
  </conditionalFormatting>
  <conditionalFormatting sqref="A68">
    <cfRule type="duplicateValues" dxfId="1304" priority="813" stopIfTrue="1"/>
    <cfRule type="duplicateValues" dxfId="1303" priority="814" stopIfTrue="1"/>
    <cfRule type="duplicateValues" dxfId="1302" priority="815" stopIfTrue="1"/>
  </conditionalFormatting>
  <conditionalFormatting sqref="A69">
    <cfRule type="duplicateValues" dxfId="1301" priority="812" stopIfTrue="1"/>
  </conditionalFormatting>
  <conditionalFormatting sqref="A69">
    <cfRule type="duplicateValues" dxfId="1300" priority="809" stopIfTrue="1"/>
    <cfRule type="duplicateValues" dxfId="1299" priority="810" stopIfTrue="1"/>
    <cfRule type="duplicateValues" dxfId="1298" priority="811" stopIfTrue="1"/>
  </conditionalFormatting>
  <conditionalFormatting sqref="A71">
    <cfRule type="duplicateValues" dxfId="1297" priority="808" stopIfTrue="1"/>
  </conditionalFormatting>
  <conditionalFormatting sqref="A71">
    <cfRule type="duplicateValues" dxfId="1296" priority="805" stopIfTrue="1"/>
    <cfRule type="duplicateValues" dxfId="1295" priority="806" stopIfTrue="1"/>
    <cfRule type="duplicateValues" dxfId="1294" priority="807" stopIfTrue="1"/>
  </conditionalFormatting>
  <conditionalFormatting sqref="A65">
    <cfRule type="duplicateValues" dxfId="1293" priority="804" stopIfTrue="1"/>
  </conditionalFormatting>
  <conditionalFormatting sqref="A65">
    <cfRule type="duplicateValues" dxfId="1292" priority="801" stopIfTrue="1"/>
    <cfRule type="duplicateValues" dxfId="1291" priority="802" stopIfTrue="1"/>
    <cfRule type="duplicateValues" dxfId="1290" priority="803" stopIfTrue="1"/>
  </conditionalFormatting>
  <conditionalFormatting sqref="A66">
    <cfRule type="duplicateValues" dxfId="1289" priority="800" stopIfTrue="1"/>
  </conditionalFormatting>
  <conditionalFormatting sqref="A66">
    <cfRule type="duplicateValues" dxfId="1288" priority="797" stopIfTrue="1"/>
    <cfRule type="duplicateValues" dxfId="1287" priority="798" stopIfTrue="1"/>
    <cfRule type="duplicateValues" dxfId="1286" priority="799" stopIfTrue="1"/>
  </conditionalFormatting>
  <conditionalFormatting sqref="A75">
    <cfRule type="duplicateValues" dxfId="1285" priority="796" stopIfTrue="1"/>
  </conditionalFormatting>
  <conditionalFormatting sqref="A75">
    <cfRule type="duplicateValues" dxfId="1284" priority="793" stopIfTrue="1"/>
    <cfRule type="duplicateValues" dxfId="1283" priority="794" stopIfTrue="1"/>
    <cfRule type="duplicateValues" dxfId="1282" priority="795" stopIfTrue="1"/>
  </conditionalFormatting>
  <conditionalFormatting sqref="A77">
    <cfRule type="duplicateValues" dxfId="1281" priority="792" stopIfTrue="1"/>
  </conditionalFormatting>
  <conditionalFormatting sqref="A77">
    <cfRule type="duplicateValues" dxfId="1280" priority="789" stopIfTrue="1"/>
    <cfRule type="duplicateValues" dxfId="1279" priority="790" stopIfTrue="1"/>
    <cfRule type="duplicateValues" dxfId="1278" priority="791" stopIfTrue="1"/>
  </conditionalFormatting>
  <conditionalFormatting sqref="A78">
    <cfRule type="duplicateValues" dxfId="1277" priority="788" stopIfTrue="1"/>
  </conditionalFormatting>
  <conditionalFormatting sqref="A78">
    <cfRule type="duplicateValues" dxfId="1276" priority="785" stopIfTrue="1"/>
    <cfRule type="duplicateValues" dxfId="1275" priority="786" stopIfTrue="1"/>
    <cfRule type="duplicateValues" dxfId="1274" priority="787" stopIfTrue="1"/>
  </conditionalFormatting>
  <conditionalFormatting sqref="A79">
    <cfRule type="duplicateValues" dxfId="1273" priority="784" stopIfTrue="1"/>
  </conditionalFormatting>
  <conditionalFormatting sqref="A79">
    <cfRule type="duplicateValues" dxfId="1272" priority="781" stopIfTrue="1"/>
    <cfRule type="duplicateValues" dxfId="1271" priority="782" stopIfTrue="1"/>
    <cfRule type="duplicateValues" dxfId="1270" priority="783" stopIfTrue="1"/>
  </conditionalFormatting>
  <conditionalFormatting sqref="A80">
    <cfRule type="duplicateValues" dxfId="1269" priority="780" stopIfTrue="1"/>
  </conditionalFormatting>
  <conditionalFormatting sqref="A80">
    <cfRule type="duplicateValues" dxfId="1268" priority="777" stopIfTrue="1"/>
    <cfRule type="duplicateValues" dxfId="1267" priority="778" stopIfTrue="1"/>
    <cfRule type="duplicateValues" dxfId="1266" priority="779" stopIfTrue="1"/>
  </conditionalFormatting>
  <conditionalFormatting sqref="A81">
    <cfRule type="duplicateValues" dxfId="1265" priority="776" stopIfTrue="1"/>
  </conditionalFormatting>
  <conditionalFormatting sqref="A81">
    <cfRule type="duplicateValues" dxfId="1264" priority="773" stopIfTrue="1"/>
    <cfRule type="duplicateValues" dxfId="1263" priority="774" stopIfTrue="1"/>
    <cfRule type="duplicateValues" dxfId="1262" priority="775" stopIfTrue="1"/>
  </conditionalFormatting>
  <conditionalFormatting sqref="A82">
    <cfRule type="duplicateValues" dxfId="1261" priority="772" stopIfTrue="1"/>
  </conditionalFormatting>
  <conditionalFormatting sqref="A82">
    <cfRule type="duplicateValues" dxfId="1260" priority="769" stopIfTrue="1"/>
    <cfRule type="duplicateValues" dxfId="1259" priority="770" stopIfTrue="1"/>
    <cfRule type="duplicateValues" dxfId="1258" priority="771" stopIfTrue="1"/>
  </conditionalFormatting>
  <conditionalFormatting sqref="A83">
    <cfRule type="duplicateValues" dxfId="1257" priority="768" stopIfTrue="1"/>
  </conditionalFormatting>
  <conditionalFormatting sqref="A83">
    <cfRule type="duplicateValues" dxfId="1256" priority="765" stopIfTrue="1"/>
    <cfRule type="duplicateValues" dxfId="1255" priority="766" stopIfTrue="1"/>
    <cfRule type="duplicateValues" dxfId="1254" priority="767" stopIfTrue="1"/>
  </conditionalFormatting>
  <conditionalFormatting sqref="A86">
    <cfRule type="duplicateValues" dxfId="1253" priority="764" stopIfTrue="1"/>
  </conditionalFormatting>
  <conditionalFormatting sqref="A86">
    <cfRule type="duplicateValues" dxfId="1252" priority="761" stopIfTrue="1"/>
    <cfRule type="duplicateValues" dxfId="1251" priority="762" stopIfTrue="1"/>
    <cfRule type="duplicateValues" dxfId="1250" priority="763" stopIfTrue="1"/>
  </conditionalFormatting>
  <conditionalFormatting sqref="A87">
    <cfRule type="duplicateValues" dxfId="1249" priority="760" stopIfTrue="1"/>
  </conditionalFormatting>
  <conditionalFormatting sqref="A87">
    <cfRule type="duplicateValues" dxfId="1248" priority="757" stopIfTrue="1"/>
    <cfRule type="duplicateValues" dxfId="1247" priority="758" stopIfTrue="1"/>
    <cfRule type="duplicateValues" dxfId="1246" priority="759" stopIfTrue="1"/>
  </conditionalFormatting>
  <conditionalFormatting sqref="A90">
    <cfRule type="duplicateValues" dxfId="1245" priority="756" stopIfTrue="1"/>
  </conditionalFormatting>
  <conditionalFormatting sqref="A90">
    <cfRule type="duplicateValues" dxfId="1244" priority="753" stopIfTrue="1"/>
    <cfRule type="duplicateValues" dxfId="1243" priority="754" stopIfTrue="1"/>
    <cfRule type="duplicateValues" dxfId="1242" priority="755" stopIfTrue="1"/>
  </conditionalFormatting>
  <conditionalFormatting sqref="A91">
    <cfRule type="duplicateValues" dxfId="1241" priority="752" stopIfTrue="1"/>
  </conditionalFormatting>
  <conditionalFormatting sqref="A91">
    <cfRule type="duplicateValues" dxfId="1240" priority="749" stopIfTrue="1"/>
    <cfRule type="duplicateValues" dxfId="1239" priority="750" stopIfTrue="1"/>
    <cfRule type="duplicateValues" dxfId="1238" priority="751" stopIfTrue="1"/>
  </conditionalFormatting>
  <conditionalFormatting sqref="A92">
    <cfRule type="duplicateValues" dxfId="1237" priority="748" stopIfTrue="1"/>
  </conditionalFormatting>
  <conditionalFormatting sqref="A92">
    <cfRule type="duplicateValues" dxfId="1236" priority="745" stopIfTrue="1"/>
    <cfRule type="duplicateValues" dxfId="1235" priority="746" stopIfTrue="1"/>
    <cfRule type="duplicateValues" dxfId="1234" priority="747" stopIfTrue="1"/>
  </conditionalFormatting>
  <conditionalFormatting sqref="A93">
    <cfRule type="duplicateValues" dxfId="1233" priority="744" stopIfTrue="1"/>
  </conditionalFormatting>
  <conditionalFormatting sqref="A93">
    <cfRule type="duplicateValues" dxfId="1232" priority="741" stopIfTrue="1"/>
    <cfRule type="duplicateValues" dxfId="1231" priority="742" stopIfTrue="1"/>
    <cfRule type="duplicateValues" dxfId="1230" priority="743" stopIfTrue="1"/>
  </conditionalFormatting>
  <conditionalFormatting sqref="A94">
    <cfRule type="duplicateValues" dxfId="1229" priority="740" stopIfTrue="1"/>
  </conditionalFormatting>
  <conditionalFormatting sqref="A94">
    <cfRule type="duplicateValues" dxfId="1228" priority="737" stopIfTrue="1"/>
    <cfRule type="duplicateValues" dxfId="1227" priority="738" stopIfTrue="1"/>
    <cfRule type="duplicateValues" dxfId="1226" priority="739" stopIfTrue="1"/>
  </conditionalFormatting>
  <conditionalFormatting sqref="A98">
    <cfRule type="duplicateValues" dxfId="1225" priority="736" stopIfTrue="1"/>
  </conditionalFormatting>
  <conditionalFormatting sqref="A98">
    <cfRule type="duplicateValues" dxfId="1224" priority="733" stopIfTrue="1"/>
    <cfRule type="duplicateValues" dxfId="1223" priority="734" stopIfTrue="1"/>
    <cfRule type="duplicateValues" dxfId="1222" priority="735" stopIfTrue="1"/>
  </conditionalFormatting>
  <conditionalFormatting sqref="A100">
    <cfRule type="duplicateValues" dxfId="1221" priority="732" stopIfTrue="1"/>
  </conditionalFormatting>
  <conditionalFormatting sqref="A100">
    <cfRule type="duplicateValues" dxfId="1220" priority="729" stopIfTrue="1"/>
    <cfRule type="duplicateValues" dxfId="1219" priority="730" stopIfTrue="1"/>
    <cfRule type="duplicateValues" dxfId="1218" priority="731" stopIfTrue="1"/>
  </conditionalFormatting>
  <conditionalFormatting sqref="A103">
    <cfRule type="duplicateValues" dxfId="1217" priority="728" stopIfTrue="1"/>
  </conditionalFormatting>
  <conditionalFormatting sqref="A103">
    <cfRule type="duplicateValues" dxfId="1216" priority="725" stopIfTrue="1"/>
    <cfRule type="duplicateValues" dxfId="1215" priority="726" stopIfTrue="1"/>
    <cfRule type="duplicateValues" dxfId="1214" priority="727" stopIfTrue="1"/>
  </conditionalFormatting>
  <conditionalFormatting sqref="A104">
    <cfRule type="duplicateValues" dxfId="1213" priority="724" stopIfTrue="1"/>
  </conditionalFormatting>
  <conditionalFormatting sqref="A104">
    <cfRule type="duplicateValues" dxfId="1212" priority="721" stopIfTrue="1"/>
    <cfRule type="duplicateValues" dxfId="1211" priority="722" stopIfTrue="1"/>
    <cfRule type="duplicateValues" dxfId="1210" priority="723" stopIfTrue="1"/>
  </conditionalFormatting>
  <conditionalFormatting sqref="A109">
    <cfRule type="duplicateValues" dxfId="1209" priority="720" stopIfTrue="1"/>
  </conditionalFormatting>
  <conditionalFormatting sqref="A109">
    <cfRule type="duplicateValues" dxfId="1208" priority="717" stopIfTrue="1"/>
    <cfRule type="duplicateValues" dxfId="1207" priority="718" stopIfTrue="1"/>
    <cfRule type="duplicateValues" dxfId="1206" priority="719" stopIfTrue="1"/>
  </conditionalFormatting>
  <conditionalFormatting sqref="A110">
    <cfRule type="duplicateValues" dxfId="1205" priority="716" stopIfTrue="1"/>
  </conditionalFormatting>
  <conditionalFormatting sqref="A110">
    <cfRule type="duplicateValues" dxfId="1204" priority="713" stopIfTrue="1"/>
    <cfRule type="duplicateValues" dxfId="1203" priority="714" stopIfTrue="1"/>
    <cfRule type="duplicateValues" dxfId="1202" priority="715" stopIfTrue="1"/>
  </conditionalFormatting>
  <conditionalFormatting sqref="A108">
    <cfRule type="duplicateValues" dxfId="1201" priority="712" stopIfTrue="1"/>
  </conditionalFormatting>
  <conditionalFormatting sqref="A108">
    <cfRule type="duplicateValues" dxfId="1200" priority="709" stopIfTrue="1"/>
    <cfRule type="duplicateValues" dxfId="1199" priority="710" stopIfTrue="1"/>
    <cfRule type="duplicateValues" dxfId="1198" priority="711" stopIfTrue="1"/>
  </conditionalFormatting>
  <conditionalFormatting sqref="A107">
    <cfRule type="duplicateValues" dxfId="1197" priority="708" stopIfTrue="1"/>
  </conditionalFormatting>
  <conditionalFormatting sqref="A107">
    <cfRule type="duplicateValues" dxfId="1196" priority="705" stopIfTrue="1"/>
    <cfRule type="duplicateValues" dxfId="1195" priority="706" stopIfTrue="1"/>
    <cfRule type="duplicateValues" dxfId="1194" priority="707" stopIfTrue="1"/>
  </conditionalFormatting>
  <conditionalFormatting sqref="A115">
    <cfRule type="duplicateValues" dxfId="1193" priority="704" stopIfTrue="1"/>
  </conditionalFormatting>
  <conditionalFormatting sqref="A115">
    <cfRule type="duplicateValues" dxfId="1192" priority="701" stopIfTrue="1"/>
    <cfRule type="duplicateValues" dxfId="1191" priority="702" stopIfTrue="1"/>
    <cfRule type="duplicateValues" dxfId="1190" priority="703" stopIfTrue="1"/>
  </conditionalFormatting>
  <conditionalFormatting sqref="A113">
    <cfRule type="duplicateValues" dxfId="1189" priority="700" stopIfTrue="1"/>
  </conditionalFormatting>
  <conditionalFormatting sqref="A113">
    <cfRule type="duplicateValues" dxfId="1188" priority="697" stopIfTrue="1"/>
    <cfRule type="duplicateValues" dxfId="1187" priority="698" stopIfTrue="1"/>
    <cfRule type="duplicateValues" dxfId="1186" priority="699" stopIfTrue="1"/>
  </conditionalFormatting>
  <conditionalFormatting sqref="A114">
    <cfRule type="duplicateValues" dxfId="1185" priority="696" stopIfTrue="1"/>
  </conditionalFormatting>
  <conditionalFormatting sqref="A114">
    <cfRule type="duplicateValues" dxfId="1184" priority="693" stopIfTrue="1"/>
    <cfRule type="duplicateValues" dxfId="1183" priority="694" stopIfTrue="1"/>
    <cfRule type="duplicateValues" dxfId="1182" priority="695" stopIfTrue="1"/>
  </conditionalFormatting>
  <conditionalFormatting sqref="A118">
    <cfRule type="duplicateValues" dxfId="1181" priority="692" stopIfTrue="1"/>
  </conditionalFormatting>
  <conditionalFormatting sqref="A118">
    <cfRule type="duplicateValues" dxfId="1180" priority="689" stopIfTrue="1"/>
    <cfRule type="duplicateValues" dxfId="1179" priority="690" stopIfTrue="1"/>
    <cfRule type="duplicateValues" dxfId="1178" priority="691" stopIfTrue="1"/>
  </conditionalFormatting>
  <conditionalFormatting sqref="A123">
    <cfRule type="duplicateValues" dxfId="1177" priority="688" stopIfTrue="1"/>
  </conditionalFormatting>
  <conditionalFormatting sqref="A123">
    <cfRule type="duplicateValues" dxfId="1176" priority="685" stopIfTrue="1"/>
    <cfRule type="duplicateValues" dxfId="1175" priority="686" stopIfTrue="1"/>
    <cfRule type="duplicateValues" dxfId="1174" priority="687" stopIfTrue="1"/>
  </conditionalFormatting>
  <conditionalFormatting sqref="A129">
    <cfRule type="duplicateValues" dxfId="1173" priority="684" stopIfTrue="1"/>
  </conditionalFormatting>
  <conditionalFormatting sqref="A129">
    <cfRule type="duplicateValues" dxfId="1172" priority="681" stopIfTrue="1"/>
    <cfRule type="duplicateValues" dxfId="1171" priority="682" stopIfTrue="1"/>
    <cfRule type="duplicateValues" dxfId="1170" priority="683" stopIfTrue="1"/>
  </conditionalFormatting>
  <conditionalFormatting sqref="A130">
    <cfRule type="duplicateValues" dxfId="1169" priority="680" stopIfTrue="1"/>
  </conditionalFormatting>
  <conditionalFormatting sqref="A130">
    <cfRule type="duplicateValues" dxfId="1168" priority="677" stopIfTrue="1"/>
    <cfRule type="duplicateValues" dxfId="1167" priority="678" stopIfTrue="1"/>
    <cfRule type="duplicateValues" dxfId="1166" priority="679" stopIfTrue="1"/>
  </conditionalFormatting>
  <conditionalFormatting sqref="A135">
    <cfRule type="duplicateValues" dxfId="1165" priority="672" stopIfTrue="1"/>
  </conditionalFormatting>
  <conditionalFormatting sqref="A135">
    <cfRule type="duplicateValues" dxfId="1164" priority="669" stopIfTrue="1"/>
    <cfRule type="duplicateValues" dxfId="1163" priority="670" stopIfTrue="1"/>
    <cfRule type="duplicateValues" dxfId="1162" priority="671" stopIfTrue="1"/>
  </conditionalFormatting>
  <conditionalFormatting sqref="A141">
    <cfRule type="duplicateValues" dxfId="1161" priority="668" stopIfTrue="1"/>
  </conditionalFormatting>
  <conditionalFormatting sqref="A141">
    <cfRule type="duplicateValues" dxfId="1160" priority="665" stopIfTrue="1"/>
    <cfRule type="duplicateValues" dxfId="1159" priority="666" stopIfTrue="1"/>
    <cfRule type="duplicateValues" dxfId="1158" priority="667" stopIfTrue="1"/>
  </conditionalFormatting>
  <conditionalFormatting sqref="A151">
    <cfRule type="duplicateValues" dxfId="1157" priority="664" stopIfTrue="1"/>
  </conditionalFormatting>
  <conditionalFormatting sqref="A151">
    <cfRule type="duplicateValues" dxfId="1156" priority="661" stopIfTrue="1"/>
    <cfRule type="duplicateValues" dxfId="1155" priority="662" stopIfTrue="1"/>
    <cfRule type="duplicateValues" dxfId="1154" priority="663" stopIfTrue="1"/>
  </conditionalFormatting>
  <conditionalFormatting sqref="A156">
    <cfRule type="duplicateValues" dxfId="1153" priority="660" stopIfTrue="1"/>
  </conditionalFormatting>
  <conditionalFormatting sqref="A156">
    <cfRule type="duplicateValues" dxfId="1152" priority="657" stopIfTrue="1"/>
    <cfRule type="duplicateValues" dxfId="1151" priority="658" stopIfTrue="1"/>
    <cfRule type="duplicateValues" dxfId="1150" priority="659" stopIfTrue="1"/>
  </conditionalFormatting>
  <conditionalFormatting sqref="A164">
    <cfRule type="duplicateValues" dxfId="1149" priority="656" stopIfTrue="1"/>
  </conditionalFormatting>
  <conditionalFormatting sqref="A164">
    <cfRule type="duplicateValues" dxfId="1148" priority="653" stopIfTrue="1"/>
    <cfRule type="duplicateValues" dxfId="1147" priority="654" stopIfTrue="1"/>
    <cfRule type="duplicateValues" dxfId="1146" priority="655" stopIfTrue="1"/>
  </conditionalFormatting>
  <conditionalFormatting sqref="A169">
    <cfRule type="duplicateValues" dxfId="1145" priority="652" stopIfTrue="1"/>
  </conditionalFormatting>
  <conditionalFormatting sqref="A169">
    <cfRule type="duplicateValues" dxfId="1144" priority="649" stopIfTrue="1"/>
    <cfRule type="duplicateValues" dxfId="1143" priority="650" stopIfTrue="1"/>
    <cfRule type="duplicateValues" dxfId="1142" priority="651" stopIfTrue="1"/>
  </conditionalFormatting>
  <conditionalFormatting sqref="A170">
    <cfRule type="duplicateValues" dxfId="1141" priority="648" stopIfTrue="1"/>
  </conditionalFormatting>
  <conditionalFormatting sqref="A170">
    <cfRule type="duplicateValues" dxfId="1140" priority="645" stopIfTrue="1"/>
    <cfRule type="duplicateValues" dxfId="1139" priority="646" stopIfTrue="1"/>
    <cfRule type="duplicateValues" dxfId="1138" priority="647" stopIfTrue="1"/>
  </conditionalFormatting>
  <conditionalFormatting sqref="A165">
    <cfRule type="duplicateValues" dxfId="1137" priority="644" stopIfTrue="1"/>
  </conditionalFormatting>
  <conditionalFormatting sqref="A165">
    <cfRule type="duplicateValues" dxfId="1136" priority="641" stopIfTrue="1"/>
    <cfRule type="duplicateValues" dxfId="1135" priority="642" stopIfTrue="1"/>
    <cfRule type="duplicateValues" dxfId="1134" priority="643" stopIfTrue="1"/>
  </conditionalFormatting>
  <conditionalFormatting sqref="A166">
    <cfRule type="duplicateValues" dxfId="1133" priority="640" stopIfTrue="1"/>
  </conditionalFormatting>
  <conditionalFormatting sqref="A166">
    <cfRule type="duplicateValues" dxfId="1132" priority="637" stopIfTrue="1"/>
    <cfRule type="duplicateValues" dxfId="1131" priority="638" stopIfTrue="1"/>
    <cfRule type="duplicateValues" dxfId="1130" priority="639" stopIfTrue="1"/>
  </conditionalFormatting>
  <conditionalFormatting sqref="A167">
    <cfRule type="duplicateValues" dxfId="1129" priority="636" stopIfTrue="1"/>
  </conditionalFormatting>
  <conditionalFormatting sqref="A167">
    <cfRule type="duplicateValues" dxfId="1128" priority="633" stopIfTrue="1"/>
    <cfRule type="duplicateValues" dxfId="1127" priority="634" stopIfTrue="1"/>
    <cfRule type="duplicateValues" dxfId="1126" priority="635" stopIfTrue="1"/>
  </conditionalFormatting>
  <conditionalFormatting sqref="A168">
    <cfRule type="duplicateValues" dxfId="1125" priority="632" stopIfTrue="1"/>
  </conditionalFormatting>
  <conditionalFormatting sqref="A168">
    <cfRule type="duplicateValues" dxfId="1124" priority="629" stopIfTrue="1"/>
    <cfRule type="duplicateValues" dxfId="1123" priority="630" stopIfTrue="1"/>
    <cfRule type="duplicateValues" dxfId="1122" priority="631" stopIfTrue="1"/>
  </conditionalFormatting>
  <conditionalFormatting sqref="A161">
    <cfRule type="duplicateValues" dxfId="1121" priority="628" stopIfTrue="1"/>
  </conditionalFormatting>
  <conditionalFormatting sqref="A161">
    <cfRule type="duplicateValues" dxfId="1120" priority="625" stopIfTrue="1"/>
    <cfRule type="duplicateValues" dxfId="1119" priority="626" stopIfTrue="1"/>
    <cfRule type="duplicateValues" dxfId="1118" priority="627" stopIfTrue="1"/>
  </conditionalFormatting>
  <conditionalFormatting sqref="A147">
    <cfRule type="duplicateValues" dxfId="1117" priority="624" stopIfTrue="1"/>
  </conditionalFormatting>
  <conditionalFormatting sqref="A147">
    <cfRule type="duplicateValues" dxfId="1116" priority="621" stopIfTrue="1"/>
    <cfRule type="duplicateValues" dxfId="1115" priority="622" stopIfTrue="1"/>
    <cfRule type="duplicateValues" dxfId="1114" priority="623" stopIfTrue="1"/>
  </conditionalFormatting>
  <conditionalFormatting sqref="A134">
    <cfRule type="duplicateValues" dxfId="1113" priority="620" stopIfTrue="1"/>
  </conditionalFormatting>
  <conditionalFormatting sqref="A134">
    <cfRule type="duplicateValues" dxfId="1112" priority="617" stopIfTrue="1"/>
    <cfRule type="duplicateValues" dxfId="1111" priority="618" stopIfTrue="1"/>
    <cfRule type="duplicateValues" dxfId="1110" priority="619" stopIfTrue="1"/>
  </conditionalFormatting>
  <conditionalFormatting sqref="A159">
    <cfRule type="duplicateValues" dxfId="1109" priority="616" stopIfTrue="1"/>
  </conditionalFormatting>
  <conditionalFormatting sqref="A159">
    <cfRule type="duplicateValues" dxfId="1108" priority="613" stopIfTrue="1"/>
    <cfRule type="duplicateValues" dxfId="1107" priority="614" stopIfTrue="1"/>
    <cfRule type="duplicateValues" dxfId="1106" priority="615" stopIfTrue="1"/>
  </conditionalFormatting>
  <conditionalFormatting sqref="A174">
    <cfRule type="duplicateValues" dxfId="1105" priority="612" stopIfTrue="1"/>
  </conditionalFormatting>
  <conditionalFormatting sqref="A174">
    <cfRule type="duplicateValues" dxfId="1104" priority="609" stopIfTrue="1"/>
    <cfRule type="duplicateValues" dxfId="1103" priority="610" stopIfTrue="1"/>
    <cfRule type="duplicateValues" dxfId="1102" priority="611" stopIfTrue="1"/>
  </conditionalFormatting>
  <conditionalFormatting sqref="A175">
    <cfRule type="duplicateValues" dxfId="1101" priority="608" stopIfTrue="1"/>
  </conditionalFormatting>
  <conditionalFormatting sqref="A175">
    <cfRule type="duplicateValues" dxfId="1100" priority="605" stopIfTrue="1"/>
    <cfRule type="duplicateValues" dxfId="1099" priority="606" stopIfTrue="1"/>
    <cfRule type="duplicateValues" dxfId="1098" priority="607" stopIfTrue="1"/>
  </conditionalFormatting>
  <conditionalFormatting sqref="A176">
    <cfRule type="duplicateValues" dxfId="1097" priority="604" stopIfTrue="1"/>
  </conditionalFormatting>
  <conditionalFormatting sqref="A176">
    <cfRule type="duplicateValues" dxfId="1096" priority="601" stopIfTrue="1"/>
    <cfRule type="duplicateValues" dxfId="1095" priority="602" stopIfTrue="1"/>
    <cfRule type="duplicateValues" dxfId="1094" priority="603" stopIfTrue="1"/>
  </conditionalFormatting>
  <conditionalFormatting sqref="A177">
    <cfRule type="duplicateValues" dxfId="1093" priority="600" stopIfTrue="1"/>
  </conditionalFormatting>
  <conditionalFormatting sqref="A177">
    <cfRule type="duplicateValues" dxfId="1092" priority="597" stopIfTrue="1"/>
    <cfRule type="duplicateValues" dxfId="1091" priority="598" stopIfTrue="1"/>
    <cfRule type="duplicateValues" dxfId="1090" priority="599" stopIfTrue="1"/>
  </conditionalFormatting>
  <conditionalFormatting sqref="A180">
    <cfRule type="duplicateValues" dxfId="1089" priority="596" stopIfTrue="1"/>
  </conditionalFormatting>
  <conditionalFormatting sqref="A180">
    <cfRule type="duplicateValues" dxfId="1088" priority="593" stopIfTrue="1"/>
    <cfRule type="duplicateValues" dxfId="1087" priority="594" stopIfTrue="1"/>
    <cfRule type="duplicateValues" dxfId="1086" priority="595" stopIfTrue="1"/>
  </conditionalFormatting>
  <conditionalFormatting sqref="A181">
    <cfRule type="duplicateValues" dxfId="1085" priority="592" stopIfTrue="1"/>
  </conditionalFormatting>
  <conditionalFormatting sqref="A181">
    <cfRule type="duplicateValues" dxfId="1084" priority="589" stopIfTrue="1"/>
    <cfRule type="duplicateValues" dxfId="1083" priority="590" stopIfTrue="1"/>
    <cfRule type="duplicateValues" dxfId="1082" priority="591" stopIfTrue="1"/>
  </conditionalFormatting>
  <conditionalFormatting sqref="A182">
    <cfRule type="duplicateValues" dxfId="1081" priority="588" stopIfTrue="1"/>
  </conditionalFormatting>
  <conditionalFormatting sqref="A182">
    <cfRule type="duplicateValues" dxfId="1080" priority="585" stopIfTrue="1"/>
    <cfRule type="duplicateValues" dxfId="1079" priority="586" stopIfTrue="1"/>
    <cfRule type="duplicateValues" dxfId="1078" priority="587" stopIfTrue="1"/>
  </conditionalFormatting>
  <conditionalFormatting sqref="A183">
    <cfRule type="duplicateValues" dxfId="1077" priority="584" stopIfTrue="1"/>
  </conditionalFormatting>
  <conditionalFormatting sqref="A183">
    <cfRule type="duplicateValues" dxfId="1076" priority="581" stopIfTrue="1"/>
    <cfRule type="duplicateValues" dxfId="1075" priority="582" stopIfTrue="1"/>
    <cfRule type="duplicateValues" dxfId="1074" priority="583" stopIfTrue="1"/>
  </conditionalFormatting>
  <conditionalFormatting sqref="A184">
    <cfRule type="duplicateValues" dxfId="1073" priority="580" stopIfTrue="1"/>
  </conditionalFormatting>
  <conditionalFormatting sqref="A184">
    <cfRule type="duplicateValues" dxfId="1072" priority="577" stopIfTrue="1"/>
    <cfRule type="duplicateValues" dxfId="1071" priority="578" stopIfTrue="1"/>
    <cfRule type="duplicateValues" dxfId="1070" priority="579" stopIfTrue="1"/>
  </conditionalFormatting>
  <conditionalFormatting sqref="A187">
    <cfRule type="duplicateValues" dxfId="1069" priority="576" stopIfTrue="1"/>
  </conditionalFormatting>
  <conditionalFormatting sqref="A187">
    <cfRule type="duplicateValues" dxfId="1068" priority="573" stopIfTrue="1"/>
    <cfRule type="duplicateValues" dxfId="1067" priority="574" stopIfTrue="1"/>
    <cfRule type="duplicateValues" dxfId="1066" priority="575" stopIfTrue="1"/>
  </conditionalFormatting>
  <conditionalFormatting sqref="A189">
    <cfRule type="duplicateValues" dxfId="1065" priority="572" stopIfTrue="1"/>
  </conditionalFormatting>
  <conditionalFormatting sqref="A189">
    <cfRule type="duplicateValues" dxfId="1064" priority="569" stopIfTrue="1"/>
    <cfRule type="duplicateValues" dxfId="1063" priority="570" stopIfTrue="1"/>
    <cfRule type="duplicateValues" dxfId="1062" priority="571" stopIfTrue="1"/>
  </conditionalFormatting>
  <conditionalFormatting sqref="A190">
    <cfRule type="duplicateValues" dxfId="1061" priority="568" stopIfTrue="1"/>
  </conditionalFormatting>
  <conditionalFormatting sqref="A190">
    <cfRule type="duplicateValues" dxfId="1060" priority="565" stopIfTrue="1"/>
    <cfRule type="duplicateValues" dxfId="1059" priority="566" stopIfTrue="1"/>
    <cfRule type="duplicateValues" dxfId="1058" priority="567" stopIfTrue="1"/>
  </conditionalFormatting>
  <conditionalFormatting sqref="A191">
    <cfRule type="duplicateValues" dxfId="1057" priority="564" stopIfTrue="1"/>
  </conditionalFormatting>
  <conditionalFormatting sqref="A191">
    <cfRule type="duplicateValues" dxfId="1056" priority="561" stopIfTrue="1"/>
    <cfRule type="duplicateValues" dxfId="1055" priority="562" stopIfTrue="1"/>
    <cfRule type="duplicateValues" dxfId="1054" priority="563" stopIfTrue="1"/>
  </conditionalFormatting>
  <conditionalFormatting sqref="A194">
    <cfRule type="duplicateValues" dxfId="1053" priority="560" stopIfTrue="1"/>
  </conditionalFormatting>
  <conditionalFormatting sqref="A194">
    <cfRule type="duplicateValues" dxfId="1052" priority="557" stopIfTrue="1"/>
    <cfRule type="duplicateValues" dxfId="1051" priority="558" stopIfTrue="1"/>
    <cfRule type="duplicateValues" dxfId="1050" priority="559" stopIfTrue="1"/>
  </conditionalFormatting>
  <conditionalFormatting sqref="A195">
    <cfRule type="duplicateValues" dxfId="1049" priority="556" stopIfTrue="1"/>
  </conditionalFormatting>
  <conditionalFormatting sqref="A195">
    <cfRule type="duplicateValues" dxfId="1048" priority="553" stopIfTrue="1"/>
    <cfRule type="duplicateValues" dxfId="1047" priority="554" stopIfTrue="1"/>
    <cfRule type="duplicateValues" dxfId="1046" priority="555" stopIfTrue="1"/>
  </conditionalFormatting>
  <conditionalFormatting sqref="A200">
    <cfRule type="duplicateValues" dxfId="1045" priority="552" stopIfTrue="1"/>
  </conditionalFormatting>
  <conditionalFormatting sqref="A200">
    <cfRule type="duplicateValues" dxfId="1044" priority="549" stopIfTrue="1"/>
    <cfRule type="duplicateValues" dxfId="1043" priority="550" stopIfTrue="1"/>
    <cfRule type="duplicateValues" dxfId="1042" priority="551" stopIfTrue="1"/>
  </conditionalFormatting>
  <conditionalFormatting sqref="A201">
    <cfRule type="duplicateValues" dxfId="1041" priority="548" stopIfTrue="1"/>
  </conditionalFormatting>
  <conditionalFormatting sqref="A201">
    <cfRule type="duplicateValues" dxfId="1040" priority="545" stopIfTrue="1"/>
    <cfRule type="duplicateValues" dxfId="1039" priority="546" stopIfTrue="1"/>
    <cfRule type="duplicateValues" dxfId="1038" priority="547" stopIfTrue="1"/>
  </conditionalFormatting>
  <conditionalFormatting sqref="A204">
    <cfRule type="duplicateValues" dxfId="1037" priority="544" stopIfTrue="1"/>
  </conditionalFormatting>
  <conditionalFormatting sqref="A204">
    <cfRule type="duplicateValues" dxfId="1036" priority="541" stopIfTrue="1"/>
    <cfRule type="duplicateValues" dxfId="1035" priority="542" stopIfTrue="1"/>
    <cfRule type="duplicateValues" dxfId="1034" priority="543" stopIfTrue="1"/>
  </conditionalFormatting>
  <conditionalFormatting sqref="A205">
    <cfRule type="duplicateValues" dxfId="1033" priority="540" stopIfTrue="1"/>
  </conditionalFormatting>
  <conditionalFormatting sqref="A205">
    <cfRule type="duplicateValues" dxfId="1032" priority="537" stopIfTrue="1"/>
    <cfRule type="duplicateValues" dxfId="1031" priority="538" stopIfTrue="1"/>
    <cfRule type="duplicateValues" dxfId="1030" priority="539" stopIfTrue="1"/>
  </conditionalFormatting>
  <conditionalFormatting sqref="A208">
    <cfRule type="duplicateValues" dxfId="1029" priority="536" stopIfTrue="1"/>
  </conditionalFormatting>
  <conditionalFormatting sqref="A208">
    <cfRule type="duplicateValues" dxfId="1028" priority="533" stopIfTrue="1"/>
    <cfRule type="duplicateValues" dxfId="1027" priority="534" stopIfTrue="1"/>
    <cfRule type="duplicateValues" dxfId="1026" priority="535" stopIfTrue="1"/>
  </conditionalFormatting>
  <conditionalFormatting sqref="A209">
    <cfRule type="duplicateValues" dxfId="1025" priority="532" stopIfTrue="1"/>
  </conditionalFormatting>
  <conditionalFormatting sqref="A209">
    <cfRule type="duplicateValues" dxfId="1024" priority="529" stopIfTrue="1"/>
    <cfRule type="duplicateValues" dxfId="1023" priority="530" stopIfTrue="1"/>
    <cfRule type="duplicateValues" dxfId="1022" priority="531" stopIfTrue="1"/>
  </conditionalFormatting>
  <conditionalFormatting sqref="A215">
    <cfRule type="duplicateValues" dxfId="1021" priority="528" stopIfTrue="1"/>
  </conditionalFormatting>
  <conditionalFormatting sqref="A215">
    <cfRule type="duplicateValues" dxfId="1020" priority="525" stopIfTrue="1"/>
    <cfRule type="duplicateValues" dxfId="1019" priority="526" stopIfTrue="1"/>
    <cfRule type="duplicateValues" dxfId="1018" priority="527" stopIfTrue="1"/>
  </conditionalFormatting>
  <conditionalFormatting sqref="A216">
    <cfRule type="duplicateValues" dxfId="1017" priority="524" stopIfTrue="1"/>
  </conditionalFormatting>
  <conditionalFormatting sqref="A216">
    <cfRule type="duplicateValues" dxfId="1016" priority="521" stopIfTrue="1"/>
    <cfRule type="duplicateValues" dxfId="1015" priority="522" stopIfTrue="1"/>
    <cfRule type="duplicateValues" dxfId="1014" priority="523" stopIfTrue="1"/>
  </conditionalFormatting>
  <conditionalFormatting sqref="A217">
    <cfRule type="duplicateValues" dxfId="1013" priority="520" stopIfTrue="1"/>
  </conditionalFormatting>
  <conditionalFormatting sqref="A217">
    <cfRule type="duplicateValues" dxfId="1012" priority="517" stopIfTrue="1"/>
    <cfRule type="duplicateValues" dxfId="1011" priority="518" stopIfTrue="1"/>
    <cfRule type="duplicateValues" dxfId="1010" priority="519" stopIfTrue="1"/>
  </conditionalFormatting>
  <conditionalFormatting sqref="A218">
    <cfRule type="duplicateValues" dxfId="1009" priority="516" stopIfTrue="1"/>
  </conditionalFormatting>
  <conditionalFormatting sqref="A218">
    <cfRule type="duplicateValues" dxfId="1008" priority="513" stopIfTrue="1"/>
    <cfRule type="duplicateValues" dxfId="1007" priority="514" stopIfTrue="1"/>
    <cfRule type="duplicateValues" dxfId="1006" priority="515" stopIfTrue="1"/>
  </conditionalFormatting>
  <conditionalFormatting sqref="A219">
    <cfRule type="duplicateValues" dxfId="1005" priority="512" stopIfTrue="1"/>
  </conditionalFormatting>
  <conditionalFormatting sqref="A219">
    <cfRule type="duplicateValues" dxfId="1004" priority="509" stopIfTrue="1"/>
    <cfRule type="duplicateValues" dxfId="1003" priority="510" stopIfTrue="1"/>
    <cfRule type="duplicateValues" dxfId="1002" priority="511" stopIfTrue="1"/>
  </conditionalFormatting>
  <conditionalFormatting sqref="A220">
    <cfRule type="duplicateValues" dxfId="1001" priority="508" stopIfTrue="1"/>
  </conditionalFormatting>
  <conditionalFormatting sqref="A220">
    <cfRule type="duplicateValues" dxfId="1000" priority="505" stopIfTrue="1"/>
    <cfRule type="duplicateValues" dxfId="999" priority="506" stopIfTrue="1"/>
    <cfRule type="duplicateValues" dxfId="998" priority="507" stopIfTrue="1"/>
  </conditionalFormatting>
  <conditionalFormatting sqref="A225">
    <cfRule type="duplicateValues" dxfId="997" priority="504" stopIfTrue="1"/>
  </conditionalFormatting>
  <conditionalFormatting sqref="A225">
    <cfRule type="duplicateValues" dxfId="996" priority="501" stopIfTrue="1"/>
    <cfRule type="duplicateValues" dxfId="995" priority="502" stopIfTrue="1"/>
    <cfRule type="duplicateValues" dxfId="994" priority="503" stopIfTrue="1"/>
  </conditionalFormatting>
  <conditionalFormatting sqref="A227">
    <cfRule type="duplicateValues" dxfId="993" priority="500" stopIfTrue="1"/>
  </conditionalFormatting>
  <conditionalFormatting sqref="A227">
    <cfRule type="duplicateValues" dxfId="992" priority="497" stopIfTrue="1"/>
    <cfRule type="duplicateValues" dxfId="991" priority="498" stopIfTrue="1"/>
    <cfRule type="duplicateValues" dxfId="990" priority="499" stopIfTrue="1"/>
  </conditionalFormatting>
  <conditionalFormatting sqref="A230">
    <cfRule type="duplicateValues" dxfId="989" priority="496" stopIfTrue="1"/>
  </conditionalFormatting>
  <conditionalFormatting sqref="A230">
    <cfRule type="duplicateValues" dxfId="988" priority="493" stopIfTrue="1"/>
    <cfRule type="duplicateValues" dxfId="987" priority="494" stopIfTrue="1"/>
    <cfRule type="duplicateValues" dxfId="986" priority="495" stopIfTrue="1"/>
  </conditionalFormatting>
  <conditionalFormatting sqref="A232">
    <cfRule type="duplicateValues" dxfId="985" priority="492" stopIfTrue="1"/>
  </conditionalFormatting>
  <conditionalFormatting sqref="A232">
    <cfRule type="duplicateValues" dxfId="984" priority="489" stopIfTrue="1"/>
    <cfRule type="duplicateValues" dxfId="983" priority="490" stopIfTrue="1"/>
    <cfRule type="duplicateValues" dxfId="982" priority="491" stopIfTrue="1"/>
  </conditionalFormatting>
  <conditionalFormatting sqref="A233">
    <cfRule type="duplicateValues" dxfId="981" priority="488" stopIfTrue="1"/>
  </conditionalFormatting>
  <conditionalFormatting sqref="A233">
    <cfRule type="duplicateValues" dxfId="980" priority="485" stopIfTrue="1"/>
    <cfRule type="duplicateValues" dxfId="979" priority="486" stopIfTrue="1"/>
    <cfRule type="duplicateValues" dxfId="978" priority="487" stopIfTrue="1"/>
  </conditionalFormatting>
  <conditionalFormatting sqref="A234">
    <cfRule type="duplicateValues" dxfId="977" priority="484" stopIfTrue="1"/>
  </conditionalFormatting>
  <conditionalFormatting sqref="A234">
    <cfRule type="duplicateValues" dxfId="976" priority="481" stopIfTrue="1"/>
    <cfRule type="duplicateValues" dxfId="975" priority="482" stopIfTrue="1"/>
    <cfRule type="duplicateValues" dxfId="974" priority="483" stopIfTrue="1"/>
  </conditionalFormatting>
  <conditionalFormatting sqref="A235">
    <cfRule type="duplicateValues" dxfId="973" priority="480" stopIfTrue="1"/>
  </conditionalFormatting>
  <conditionalFormatting sqref="A235">
    <cfRule type="duplicateValues" dxfId="972" priority="477" stopIfTrue="1"/>
    <cfRule type="duplicateValues" dxfId="971" priority="478" stopIfTrue="1"/>
    <cfRule type="duplicateValues" dxfId="970" priority="479" stopIfTrue="1"/>
  </conditionalFormatting>
  <conditionalFormatting sqref="A244">
    <cfRule type="duplicateValues" dxfId="969" priority="476" stopIfTrue="1"/>
  </conditionalFormatting>
  <conditionalFormatting sqref="A244">
    <cfRule type="duplicateValues" dxfId="968" priority="473" stopIfTrue="1"/>
    <cfRule type="duplicateValues" dxfId="967" priority="474" stopIfTrue="1"/>
    <cfRule type="duplicateValues" dxfId="966" priority="475" stopIfTrue="1"/>
  </conditionalFormatting>
  <conditionalFormatting sqref="A241">
    <cfRule type="duplicateValues" dxfId="965" priority="472" stopIfTrue="1"/>
  </conditionalFormatting>
  <conditionalFormatting sqref="A241">
    <cfRule type="duplicateValues" dxfId="964" priority="469" stopIfTrue="1"/>
    <cfRule type="duplicateValues" dxfId="963" priority="470" stopIfTrue="1"/>
    <cfRule type="duplicateValues" dxfId="962" priority="471" stopIfTrue="1"/>
  </conditionalFormatting>
  <conditionalFormatting sqref="A246">
    <cfRule type="duplicateValues" dxfId="961" priority="468" stopIfTrue="1"/>
  </conditionalFormatting>
  <conditionalFormatting sqref="A246">
    <cfRule type="duplicateValues" dxfId="960" priority="465" stopIfTrue="1"/>
    <cfRule type="duplicateValues" dxfId="959" priority="466" stopIfTrue="1"/>
    <cfRule type="duplicateValues" dxfId="958" priority="467" stopIfTrue="1"/>
  </conditionalFormatting>
  <conditionalFormatting sqref="A247">
    <cfRule type="duplicateValues" dxfId="957" priority="464" stopIfTrue="1"/>
  </conditionalFormatting>
  <conditionalFormatting sqref="A247">
    <cfRule type="duplicateValues" dxfId="956" priority="461" stopIfTrue="1"/>
    <cfRule type="duplicateValues" dxfId="955" priority="462" stopIfTrue="1"/>
    <cfRule type="duplicateValues" dxfId="954" priority="463" stopIfTrue="1"/>
  </conditionalFormatting>
  <conditionalFormatting sqref="A245">
    <cfRule type="duplicateValues" dxfId="953" priority="460" stopIfTrue="1"/>
  </conditionalFormatting>
  <conditionalFormatting sqref="A245">
    <cfRule type="duplicateValues" dxfId="952" priority="457" stopIfTrue="1"/>
    <cfRule type="duplicateValues" dxfId="951" priority="458" stopIfTrue="1"/>
    <cfRule type="duplicateValues" dxfId="950" priority="459" stopIfTrue="1"/>
  </conditionalFormatting>
  <conditionalFormatting sqref="A251">
    <cfRule type="duplicateValues" dxfId="949" priority="456" stopIfTrue="1"/>
  </conditionalFormatting>
  <conditionalFormatting sqref="A251">
    <cfRule type="duplicateValues" dxfId="948" priority="453" stopIfTrue="1"/>
    <cfRule type="duplicateValues" dxfId="947" priority="454" stopIfTrue="1"/>
    <cfRule type="duplicateValues" dxfId="946" priority="455" stopIfTrue="1"/>
  </conditionalFormatting>
  <conditionalFormatting sqref="A258">
    <cfRule type="duplicateValues" dxfId="945" priority="444" stopIfTrue="1"/>
  </conditionalFormatting>
  <conditionalFormatting sqref="A258">
    <cfRule type="duplicateValues" dxfId="944" priority="441" stopIfTrue="1"/>
    <cfRule type="duplicateValues" dxfId="943" priority="442" stopIfTrue="1"/>
    <cfRule type="duplicateValues" dxfId="942" priority="443" stopIfTrue="1"/>
  </conditionalFormatting>
  <conditionalFormatting sqref="A259">
    <cfRule type="duplicateValues" dxfId="941" priority="440" stopIfTrue="1"/>
  </conditionalFormatting>
  <conditionalFormatting sqref="A259">
    <cfRule type="duplicateValues" dxfId="940" priority="437" stopIfTrue="1"/>
    <cfRule type="duplicateValues" dxfId="939" priority="438" stopIfTrue="1"/>
    <cfRule type="duplicateValues" dxfId="938" priority="439" stopIfTrue="1"/>
  </conditionalFormatting>
  <conditionalFormatting sqref="A260">
    <cfRule type="duplicateValues" dxfId="937" priority="436" stopIfTrue="1"/>
  </conditionalFormatting>
  <conditionalFormatting sqref="A260">
    <cfRule type="duplicateValues" dxfId="936" priority="433" stopIfTrue="1"/>
    <cfRule type="duplicateValues" dxfId="935" priority="434" stopIfTrue="1"/>
    <cfRule type="duplicateValues" dxfId="934" priority="435" stopIfTrue="1"/>
  </conditionalFormatting>
  <conditionalFormatting sqref="A261">
    <cfRule type="duplicateValues" dxfId="933" priority="432" stopIfTrue="1"/>
  </conditionalFormatting>
  <conditionalFormatting sqref="A261">
    <cfRule type="duplicateValues" dxfId="932" priority="429" stopIfTrue="1"/>
    <cfRule type="duplicateValues" dxfId="931" priority="430" stopIfTrue="1"/>
    <cfRule type="duplicateValues" dxfId="930" priority="431" stopIfTrue="1"/>
  </conditionalFormatting>
  <conditionalFormatting sqref="A268">
    <cfRule type="duplicateValues" dxfId="929" priority="428" stopIfTrue="1"/>
  </conditionalFormatting>
  <conditionalFormatting sqref="A268">
    <cfRule type="duplicateValues" dxfId="928" priority="425" stopIfTrue="1"/>
    <cfRule type="duplicateValues" dxfId="927" priority="426" stopIfTrue="1"/>
    <cfRule type="duplicateValues" dxfId="926" priority="427" stopIfTrue="1"/>
  </conditionalFormatting>
  <conditionalFormatting sqref="A264">
    <cfRule type="duplicateValues" dxfId="925" priority="424" stopIfTrue="1"/>
  </conditionalFormatting>
  <conditionalFormatting sqref="A264">
    <cfRule type="duplicateValues" dxfId="924" priority="421" stopIfTrue="1"/>
    <cfRule type="duplicateValues" dxfId="923" priority="422" stopIfTrue="1"/>
    <cfRule type="duplicateValues" dxfId="922" priority="423" stopIfTrue="1"/>
  </conditionalFormatting>
  <conditionalFormatting sqref="A269">
    <cfRule type="duplicateValues" dxfId="921" priority="420" stopIfTrue="1"/>
  </conditionalFormatting>
  <conditionalFormatting sqref="A269">
    <cfRule type="duplicateValues" dxfId="920" priority="417" stopIfTrue="1"/>
    <cfRule type="duplicateValues" dxfId="919" priority="418" stopIfTrue="1"/>
    <cfRule type="duplicateValues" dxfId="918" priority="419" stopIfTrue="1"/>
  </conditionalFormatting>
  <conditionalFormatting sqref="A267">
    <cfRule type="duplicateValues" dxfId="917" priority="416" stopIfTrue="1"/>
  </conditionalFormatting>
  <conditionalFormatting sqref="A267">
    <cfRule type="duplicateValues" dxfId="916" priority="413" stopIfTrue="1"/>
    <cfRule type="duplicateValues" dxfId="915" priority="414" stopIfTrue="1"/>
    <cfRule type="duplicateValues" dxfId="914" priority="415" stopIfTrue="1"/>
  </conditionalFormatting>
  <conditionalFormatting sqref="A273">
    <cfRule type="duplicateValues" dxfId="913" priority="412" stopIfTrue="1"/>
  </conditionalFormatting>
  <conditionalFormatting sqref="A273">
    <cfRule type="duplicateValues" dxfId="912" priority="409" stopIfTrue="1"/>
    <cfRule type="duplicateValues" dxfId="911" priority="410" stopIfTrue="1"/>
    <cfRule type="duplicateValues" dxfId="910" priority="411" stopIfTrue="1"/>
  </conditionalFormatting>
  <conditionalFormatting sqref="A274">
    <cfRule type="duplicateValues" dxfId="909" priority="408" stopIfTrue="1"/>
  </conditionalFormatting>
  <conditionalFormatting sqref="A274">
    <cfRule type="duplicateValues" dxfId="908" priority="405" stopIfTrue="1"/>
    <cfRule type="duplicateValues" dxfId="907" priority="406" stopIfTrue="1"/>
    <cfRule type="duplicateValues" dxfId="906" priority="407" stopIfTrue="1"/>
  </conditionalFormatting>
  <conditionalFormatting sqref="A275">
    <cfRule type="duplicateValues" dxfId="905" priority="404" stopIfTrue="1"/>
  </conditionalFormatting>
  <conditionalFormatting sqref="A275">
    <cfRule type="duplicateValues" dxfId="904" priority="401" stopIfTrue="1"/>
    <cfRule type="duplicateValues" dxfId="903" priority="402" stopIfTrue="1"/>
    <cfRule type="duplicateValues" dxfId="902" priority="403" stopIfTrue="1"/>
  </conditionalFormatting>
  <conditionalFormatting sqref="A276">
    <cfRule type="duplicateValues" dxfId="901" priority="400" stopIfTrue="1"/>
  </conditionalFormatting>
  <conditionalFormatting sqref="A276">
    <cfRule type="duplicateValues" dxfId="900" priority="397" stopIfTrue="1"/>
    <cfRule type="duplicateValues" dxfId="899" priority="398" stopIfTrue="1"/>
    <cfRule type="duplicateValues" dxfId="898" priority="399" stopIfTrue="1"/>
  </conditionalFormatting>
  <conditionalFormatting sqref="A283">
    <cfRule type="duplicateValues" dxfId="897" priority="396" stopIfTrue="1"/>
  </conditionalFormatting>
  <conditionalFormatting sqref="A283">
    <cfRule type="duplicateValues" dxfId="896" priority="393" stopIfTrue="1"/>
    <cfRule type="duplicateValues" dxfId="895" priority="394" stopIfTrue="1"/>
    <cfRule type="duplicateValues" dxfId="894" priority="395" stopIfTrue="1"/>
  </conditionalFormatting>
  <conditionalFormatting sqref="A296">
    <cfRule type="duplicateValues" dxfId="893" priority="392" stopIfTrue="1"/>
  </conditionalFormatting>
  <conditionalFormatting sqref="A296">
    <cfRule type="duplicateValues" dxfId="892" priority="389" stopIfTrue="1"/>
    <cfRule type="duplicateValues" dxfId="891" priority="390" stopIfTrue="1"/>
    <cfRule type="duplicateValues" dxfId="890" priority="391" stopIfTrue="1"/>
  </conditionalFormatting>
  <conditionalFormatting sqref="A297">
    <cfRule type="duplicateValues" dxfId="889" priority="388" stopIfTrue="1"/>
  </conditionalFormatting>
  <conditionalFormatting sqref="A297">
    <cfRule type="duplicateValues" dxfId="888" priority="385" stopIfTrue="1"/>
    <cfRule type="duplicateValues" dxfId="887" priority="386" stopIfTrue="1"/>
    <cfRule type="duplicateValues" dxfId="886" priority="387" stopIfTrue="1"/>
  </conditionalFormatting>
  <conditionalFormatting sqref="A295">
    <cfRule type="duplicateValues" dxfId="885" priority="384" stopIfTrue="1"/>
  </conditionalFormatting>
  <conditionalFormatting sqref="A295">
    <cfRule type="duplicateValues" dxfId="884" priority="381" stopIfTrue="1"/>
    <cfRule type="duplicateValues" dxfId="883" priority="382" stopIfTrue="1"/>
    <cfRule type="duplicateValues" dxfId="882" priority="383" stopIfTrue="1"/>
  </conditionalFormatting>
  <conditionalFormatting sqref="A293">
    <cfRule type="duplicateValues" dxfId="881" priority="380" stopIfTrue="1"/>
  </conditionalFormatting>
  <conditionalFormatting sqref="A293">
    <cfRule type="duplicateValues" dxfId="880" priority="377" stopIfTrue="1"/>
    <cfRule type="duplicateValues" dxfId="879" priority="378" stopIfTrue="1"/>
    <cfRule type="duplicateValues" dxfId="878" priority="379" stopIfTrue="1"/>
  </conditionalFormatting>
  <conditionalFormatting sqref="A285">
    <cfRule type="duplicateValues" dxfId="877" priority="376" stopIfTrue="1"/>
  </conditionalFormatting>
  <conditionalFormatting sqref="A285">
    <cfRule type="duplicateValues" dxfId="876" priority="373" stopIfTrue="1"/>
    <cfRule type="duplicateValues" dxfId="875" priority="374" stopIfTrue="1"/>
    <cfRule type="duplicateValues" dxfId="874" priority="375" stopIfTrue="1"/>
  </conditionalFormatting>
  <conditionalFormatting sqref="A294">
    <cfRule type="duplicateValues" dxfId="873" priority="372" stopIfTrue="1"/>
  </conditionalFormatting>
  <conditionalFormatting sqref="A294">
    <cfRule type="duplicateValues" dxfId="872" priority="369" stopIfTrue="1"/>
    <cfRule type="duplicateValues" dxfId="871" priority="370" stopIfTrue="1"/>
    <cfRule type="duplicateValues" dxfId="870" priority="371" stopIfTrue="1"/>
  </conditionalFormatting>
  <conditionalFormatting sqref="A288">
    <cfRule type="duplicateValues" dxfId="869" priority="364" stopIfTrue="1"/>
  </conditionalFormatting>
  <conditionalFormatting sqref="A288">
    <cfRule type="duplicateValues" dxfId="868" priority="361" stopIfTrue="1"/>
    <cfRule type="duplicateValues" dxfId="867" priority="362" stopIfTrue="1"/>
    <cfRule type="duplicateValues" dxfId="866" priority="363" stopIfTrue="1"/>
  </conditionalFormatting>
  <conditionalFormatting sqref="A281">
    <cfRule type="duplicateValues" dxfId="865" priority="360" stopIfTrue="1"/>
  </conditionalFormatting>
  <conditionalFormatting sqref="A281">
    <cfRule type="duplicateValues" dxfId="864" priority="357" stopIfTrue="1"/>
    <cfRule type="duplicateValues" dxfId="863" priority="358" stopIfTrue="1"/>
    <cfRule type="duplicateValues" dxfId="862" priority="359" stopIfTrue="1"/>
  </conditionalFormatting>
  <conditionalFormatting sqref="A282">
    <cfRule type="duplicateValues" dxfId="861" priority="356" stopIfTrue="1"/>
  </conditionalFormatting>
  <conditionalFormatting sqref="A282">
    <cfRule type="duplicateValues" dxfId="860" priority="353" stopIfTrue="1"/>
    <cfRule type="duplicateValues" dxfId="859" priority="354" stopIfTrue="1"/>
    <cfRule type="duplicateValues" dxfId="858" priority="355" stopIfTrue="1"/>
  </conditionalFormatting>
  <conditionalFormatting sqref="A290">
    <cfRule type="duplicateValues" dxfId="857" priority="352" stopIfTrue="1"/>
  </conditionalFormatting>
  <conditionalFormatting sqref="A290">
    <cfRule type="duplicateValues" dxfId="856" priority="349" stopIfTrue="1"/>
    <cfRule type="duplicateValues" dxfId="855" priority="350" stopIfTrue="1"/>
    <cfRule type="duplicateValues" dxfId="854" priority="351" stopIfTrue="1"/>
  </conditionalFormatting>
  <conditionalFormatting sqref="A302">
    <cfRule type="duplicateValues" dxfId="853" priority="348" stopIfTrue="1"/>
  </conditionalFormatting>
  <conditionalFormatting sqref="A302">
    <cfRule type="duplicateValues" dxfId="852" priority="345" stopIfTrue="1"/>
    <cfRule type="duplicateValues" dxfId="851" priority="346" stopIfTrue="1"/>
    <cfRule type="duplicateValues" dxfId="850" priority="347" stopIfTrue="1"/>
  </conditionalFormatting>
  <conditionalFormatting sqref="A301">
    <cfRule type="duplicateValues" dxfId="849" priority="344" stopIfTrue="1"/>
  </conditionalFormatting>
  <conditionalFormatting sqref="A301">
    <cfRule type="duplicateValues" dxfId="848" priority="341" stopIfTrue="1"/>
    <cfRule type="duplicateValues" dxfId="847" priority="342" stopIfTrue="1"/>
    <cfRule type="duplicateValues" dxfId="846" priority="343" stopIfTrue="1"/>
  </conditionalFormatting>
  <conditionalFormatting sqref="A307">
    <cfRule type="duplicateValues" dxfId="845" priority="340" stopIfTrue="1"/>
  </conditionalFormatting>
  <conditionalFormatting sqref="A307">
    <cfRule type="duplicateValues" dxfId="844" priority="337" stopIfTrue="1"/>
    <cfRule type="duplicateValues" dxfId="843" priority="338" stopIfTrue="1"/>
    <cfRule type="duplicateValues" dxfId="842" priority="339" stopIfTrue="1"/>
  </conditionalFormatting>
  <conditionalFormatting sqref="A309">
    <cfRule type="duplicateValues" dxfId="841" priority="336" stopIfTrue="1"/>
  </conditionalFormatting>
  <conditionalFormatting sqref="A309">
    <cfRule type="duplicateValues" dxfId="840" priority="333" stopIfTrue="1"/>
    <cfRule type="duplicateValues" dxfId="839" priority="334" stopIfTrue="1"/>
    <cfRule type="duplicateValues" dxfId="838" priority="335" stopIfTrue="1"/>
  </conditionalFormatting>
  <conditionalFormatting sqref="A310">
    <cfRule type="duplicateValues" dxfId="837" priority="332" stopIfTrue="1"/>
  </conditionalFormatting>
  <conditionalFormatting sqref="A310">
    <cfRule type="duplicateValues" dxfId="836" priority="329" stopIfTrue="1"/>
    <cfRule type="duplicateValues" dxfId="835" priority="330" stopIfTrue="1"/>
    <cfRule type="duplicateValues" dxfId="834" priority="331" stopIfTrue="1"/>
  </conditionalFormatting>
  <conditionalFormatting sqref="A311">
    <cfRule type="duplicateValues" dxfId="833" priority="328" stopIfTrue="1"/>
  </conditionalFormatting>
  <conditionalFormatting sqref="A311">
    <cfRule type="duplicateValues" dxfId="832" priority="325" stopIfTrue="1"/>
    <cfRule type="duplicateValues" dxfId="831" priority="326" stopIfTrue="1"/>
    <cfRule type="duplicateValues" dxfId="830" priority="327" stopIfTrue="1"/>
  </conditionalFormatting>
  <conditionalFormatting sqref="A322">
    <cfRule type="duplicateValues" dxfId="829" priority="324" stopIfTrue="1"/>
  </conditionalFormatting>
  <conditionalFormatting sqref="A322">
    <cfRule type="duplicateValues" dxfId="828" priority="321" stopIfTrue="1"/>
    <cfRule type="duplicateValues" dxfId="827" priority="322" stopIfTrue="1"/>
    <cfRule type="duplicateValues" dxfId="826" priority="323" stopIfTrue="1"/>
  </conditionalFormatting>
  <conditionalFormatting sqref="A324">
    <cfRule type="duplicateValues" dxfId="825" priority="320" stopIfTrue="1"/>
  </conditionalFormatting>
  <conditionalFormatting sqref="A324">
    <cfRule type="duplicateValues" dxfId="824" priority="317" stopIfTrue="1"/>
    <cfRule type="duplicateValues" dxfId="823" priority="318" stopIfTrue="1"/>
    <cfRule type="duplicateValues" dxfId="822" priority="319" stopIfTrue="1"/>
  </conditionalFormatting>
  <conditionalFormatting sqref="A326">
    <cfRule type="duplicateValues" dxfId="821" priority="316" stopIfTrue="1"/>
  </conditionalFormatting>
  <conditionalFormatting sqref="A326">
    <cfRule type="duplicateValues" dxfId="820" priority="313" stopIfTrue="1"/>
    <cfRule type="duplicateValues" dxfId="819" priority="314" stopIfTrue="1"/>
    <cfRule type="duplicateValues" dxfId="818" priority="315" stopIfTrue="1"/>
  </conditionalFormatting>
  <conditionalFormatting sqref="A330">
    <cfRule type="duplicateValues" dxfId="817" priority="312" stopIfTrue="1"/>
  </conditionalFormatting>
  <conditionalFormatting sqref="A330">
    <cfRule type="duplicateValues" dxfId="816" priority="309" stopIfTrue="1"/>
    <cfRule type="duplicateValues" dxfId="815" priority="310" stopIfTrue="1"/>
    <cfRule type="duplicateValues" dxfId="814" priority="311" stopIfTrue="1"/>
  </conditionalFormatting>
  <conditionalFormatting sqref="A331">
    <cfRule type="duplicateValues" dxfId="813" priority="308" stopIfTrue="1"/>
  </conditionalFormatting>
  <conditionalFormatting sqref="A331">
    <cfRule type="duplicateValues" dxfId="812" priority="305" stopIfTrue="1"/>
    <cfRule type="duplicateValues" dxfId="811" priority="306" stopIfTrue="1"/>
    <cfRule type="duplicateValues" dxfId="810" priority="307" stopIfTrue="1"/>
  </conditionalFormatting>
  <conditionalFormatting sqref="A328">
    <cfRule type="duplicateValues" dxfId="809" priority="304" stopIfTrue="1"/>
  </conditionalFormatting>
  <conditionalFormatting sqref="A328">
    <cfRule type="duplicateValues" dxfId="808" priority="301" stopIfTrue="1"/>
    <cfRule type="duplicateValues" dxfId="807" priority="302" stopIfTrue="1"/>
    <cfRule type="duplicateValues" dxfId="806" priority="303" stopIfTrue="1"/>
  </conditionalFormatting>
  <conditionalFormatting sqref="A339">
    <cfRule type="duplicateValues" dxfId="805" priority="296" stopIfTrue="1"/>
  </conditionalFormatting>
  <conditionalFormatting sqref="A339">
    <cfRule type="duplicateValues" dxfId="804" priority="293" stopIfTrue="1"/>
    <cfRule type="duplicateValues" dxfId="803" priority="294" stopIfTrue="1"/>
    <cfRule type="duplicateValues" dxfId="802" priority="295" stopIfTrue="1"/>
  </conditionalFormatting>
  <conditionalFormatting sqref="A338">
    <cfRule type="duplicateValues" dxfId="801" priority="292" stopIfTrue="1"/>
  </conditionalFormatting>
  <conditionalFormatting sqref="A338">
    <cfRule type="duplicateValues" dxfId="800" priority="289" stopIfTrue="1"/>
    <cfRule type="duplicateValues" dxfId="799" priority="290" stopIfTrue="1"/>
    <cfRule type="duplicateValues" dxfId="798" priority="291" stopIfTrue="1"/>
  </conditionalFormatting>
  <conditionalFormatting sqref="A341">
    <cfRule type="duplicateValues" dxfId="797" priority="288" stopIfTrue="1"/>
  </conditionalFormatting>
  <conditionalFormatting sqref="A341">
    <cfRule type="duplicateValues" dxfId="796" priority="285" stopIfTrue="1"/>
    <cfRule type="duplicateValues" dxfId="795" priority="286" stopIfTrue="1"/>
    <cfRule type="duplicateValues" dxfId="794" priority="287" stopIfTrue="1"/>
  </conditionalFormatting>
  <conditionalFormatting sqref="A342">
    <cfRule type="duplicateValues" dxfId="793" priority="284" stopIfTrue="1"/>
  </conditionalFormatting>
  <conditionalFormatting sqref="A342">
    <cfRule type="duplicateValues" dxfId="792" priority="281" stopIfTrue="1"/>
    <cfRule type="duplicateValues" dxfId="791" priority="282" stopIfTrue="1"/>
    <cfRule type="duplicateValues" dxfId="790" priority="283" stopIfTrue="1"/>
  </conditionalFormatting>
  <conditionalFormatting sqref="A343">
    <cfRule type="duplicateValues" dxfId="789" priority="280" stopIfTrue="1"/>
  </conditionalFormatting>
  <conditionalFormatting sqref="A343">
    <cfRule type="duplicateValues" dxfId="788" priority="277" stopIfTrue="1"/>
    <cfRule type="duplicateValues" dxfId="787" priority="278" stopIfTrue="1"/>
    <cfRule type="duplicateValues" dxfId="786" priority="279" stopIfTrue="1"/>
  </conditionalFormatting>
  <conditionalFormatting sqref="A344">
    <cfRule type="duplicateValues" dxfId="785" priority="276" stopIfTrue="1"/>
  </conditionalFormatting>
  <conditionalFormatting sqref="A344">
    <cfRule type="duplicateValues" dxfId="784" priority="273" stopIfTrue="1"/>
    <cfRule type="duplicateValues" dxfId="783" priority="274" stopIfTrue="1"/>
    <cfRule type="duplicateValues" dxfId="782" priority="275" stopIfTrue="1"/>
  </conditionalFormatting>
  <conditionalFormatting sqref="A345">
    <cfRule type="duplicateValues" dxfId="781" priority="272" stopIfTrue="1"/>
  </conditionalFormatting>
  <conditionalFormatting sqref="A345">
    <cfRule type="duplicateValues" dxfId="780" priority="269" stopIfTrue="1"/>
    <cfRule type="duplicateValues" dxfId="779" priority="270" stopIfTrue="1"/>
    <cfRule type="duplicateValues" dxfId="778" priority="271" stopIfTrue="1"/>
  </conditionalFormatting>
  <conditionalFormatting sqref="A340">
    <cfRule type="duplicateValues" dxfId="777" priority="268" stopIfTrue="1"/>
  </conditionalFormatting>
  <conditionalFormatting sqref="A340">
    <cfRule type="duplicateValues" dxfId="776" priority="265" stopIfTrue="1"/>
    <cfRule type="duplicateValues" dxfId="775" priority="266" stopIfTrue="1"/>
    <cfRule type="duplicateValues" dxfId="774" priority="267" stopIfTrue="1"/>
  </conditionalFormatting>
  <conditionalFormatting sqref="A349">
    <cfRule type="duplicateValues" dxfId="773" priority="264" stopIfTrue="1"/>
  </conditionalFormatting>
  <conditionalFormatting sqref="A349">
    <cfRule type="duplicateValues" dxfId="772" priority="261" stopIfTrue="1"/>
    <cfRule type="duplicateValues" dxfId="771" priority="262" stopIfTrue="1"/>
    <cfRule type="duplicateValues" dxfId="770" priority="263" stopIfTrue="1"/>
  </conditionalFormatting>
  <conditionalFormatting sqref="A351">
    <cfRule type="duplicateValues" dxfId="769" priority="260" stopIfTrue="1"/>
  </conditionalFormatting>
  <conditionalFormatting sqref="A351">
    <cfRule type="duplicateValues" dxfId="768" priority="257" stopIfTrue="1"/>
    <cfRule type="duplicateValues" dxfId="767" priority="258" stopIfTrue="1"/>
    <cfRule type="duplicateValues" dxfId="766" priority="259" stopIfTrue="1"/>
  </conditionalFormatting>
  <conditionalFormatting sqref="A355">
    <cfRule type="duplicateValues" dxfId="765" priority="256" stopIfTrue="1"/>
  </conditionalFormatting>
  <conditionalFormatting sqref="A355">
    <cfRule type="duplicateValues" dxfId="764" priority="253" stopIfTrue="1"/>
    <cfRule type="duplicateValues" dxfId="763" priority="254" stopIfTrue="1"/>
    <cfRule type="duplicateValues" dxfId="762" priority="255" stopIfTrue="1"/>
  </conditionalFormatting>
  <conditionalFormatting sqref="A353">
    <cfRule type="duplicateValues" dxfId="761" priority="252" stopIfTrue="1"/>
  </conditionalFormatting>
  <conditionalFormatting sqref="A353">
    <cfRule type="duplicateValues" dxfId="760" priority="249" stopIfTrue="1"/>
    <cfRule type="duplicateValues" dxfId="759" priority="250" stopIfTrue="1"/>
    <cfRule type="duplicateValues" dxfId="758" priority="251" stopIfTrue="1"/>
  </conditionalFormatting>
  <conditionalFormatting sqref="A357">
    <cfRule type="duplicateValues" dxfId="757" priority="248" stopIfTrue="1"/>
  </conditionalFormatting>
  <conditionalFormatting sqref="A357">
    <cfRule type="duplicateValues" dxfId="756" priority="245" stopIfTrue="1"/>
    <cfRule type="duplicateValues" dxfId="755" priority="246" stopIfTrue="1"/>
    <cfRule type="duplicateValues" dxfId="754" priority="247" stopIfTrue="1"/>
  </conditionalFormatting>
  <conditionalFormatting sqref="A359">
    <cfRule type="duplicateValues" dxfId="753" priority="244" stopIfTrue="1"/>
  </conditionalFormatting>
  <conditionalFormatting sqref="A359">
    <cfRule type="duplicateValues" dxfId="752" priority="241" stopIfTrue="1"/>
    <cfRule type="duplicateValues" dxfId="751" priority="242" stopIfTrue="1"/>
    <cfRule type="duplicateValues" dxfId="750" priority="243" stopIfTrue="1"/>
  </conditionalFormatting>
  <conditionalFormatting sqref="A361">
    <cfRule type="duplicateValues" dxfId="749" priority="240" stopIfTrue="1"/>
  </conditionalFormatting>
  <conditionalFormatting sqref="A361">
    <cfRule type="duplicateValues" dxfId="748" priority="237" stopIfTrue="1"/>
    <cfRule type="duplicateValues" dxfId="747" priority="238" stopIfTrue="1"/>
    <cfRule type="duplicateValues" dxfId="746" priority="239" stopIfTrue="1"/>
  </conditionalFormatting>
  <conditionalFormatting sqref="A363">
    <cfRule type="duplicateValues" dxfId="745" priority="236" stopIfTrue="1"/>
  </conditionalFormatting>
  <conditionalFormatting sqref="A363">
    <cfRule type="duplicateValues" dxfId="744" priority="233" stopIfTrue="1"/>
    <cfRule type="duplicateValues" dxfId="743" priority="234" stopIfTrue="1"/>
    <cfRule type="duplicateValues" dxfId="742" priority="235" stopIfTrue="1"/>
  </conditionalFormatting>
  <conditionalFormatting sqref="A316">
    <cfRule type="duplicateValues" dxfId="741" priority="232" stopIfTrue="1"/>
  </conditionalFormatting>
  <conditionalFormatting sqref="A316">
    <cfRule type="duplicateValues" dxfId="740" priority="229" stopIfTrue="1"/>
    <cfRule type="duplicateValues" dxfId="739" priority="230" stopIfTrue="1"/>
    <cfRule type="duplicateValues" dxfId="738" priority="231" stopIfTrue="1"/>
  </conditionalFormatting>
  <conditionalFormatting sqref="A367">
    <cfRule type="duplicateValues" dxfId="737" priority="228" stopIfTrue="1"/>
  </conditionalFormatting>
  <conditionalFormatting sqref="A367">
    <cfRule type="duplicateValues" dxfId="736" priority="225" stopIfTrue="1"/>
    <cfRule type="duplicateValues" dxfId="735" priority="226" stopIfTrue="1"/>
    <cfRule type="duplicateValues" dxfId="734" priority="227" stopIfTrue="1"/>
  </conditionalFormatting>
  <conditionalFormatting sqref="A370">
    <cfRule type="duplicateValues" dxfId="733" priority="224" stopIfTrue="1"/>
  </conditionalFormatting>
  <conditionalFormatting sqref="A370">
    <cfRule type="duplicateValues" dxfId="732" priority="221" stopIfTrue="1"/>
    <cfRule type="duplicateValues" dxfId="731" priority="222" stopIfTrue="1"/>
    <cfRule type="duplicateValues" dxfId="730" priority="223" stopIfTrue="1"/>
  </conditionalFormatting>
  <conditionalFormatting sqref="A374">
    <cfRule type="duplicateValues" dxfId="729" priority="220" stopIfTrue="1"/>
  </conditionalFormatting>
  <conditionalFormatting sqref="A374">
    <cfRule type="duplicateValues" dxfId="728" priority="217" stopIfTrue="1"/>
    <cfRule type="duplicateValues" dxfId="727" priority="218" stopIfTrue="1"/>
    <cfRule type="duplicateValues" dxfId="726" priority="219" stopIfTrue="1"/>
  </conditionalFormatting>
  <conditionalFormatting sqref="A371">
    <cfRule type="duplicateValues" dxfId="725" priority="216" stopIfTrue="1"/>
  </conditionalFormatting>
  <conditionalFormatting sqref="A371">
    <cfRule type="duplicateValues" dxfId="724" priority="213" stopIfTrue="1"/>
    <cfRule type="duplicateValues" dxfId="723" priority="214" stopIfTrue="1"/>
    <cfRule type="duplicateValues" dxfId="722" priority="215" stopIfTrue="1"/>
  </conditionalFormatting>
  <conditionalFormatting sqref="A372">
    <cfRule type="duplicateValues" dxfId="721" priority="212" stopIfTrue="1"/>
  </conditionalFormatting>
  <conditionalFormatting sqref="A372">
    <cfRule type="duplicateValues" dxfId="720" priority="209" stopIfTrue="1"/>
    <cfRule type="duplicateValues" dxfId="719" priority="210" stopIfTrue="1"/>
    <cfRule type="duplicateValues" dxfId="718" priority="211" stopIfTrue="1"/>
  </conditionalFormatting>
  <conditionalFormatting sqref="A373">
    <cfRule type="duplicateValues" dxfId="717" priority="208" stopIfTrue="1"/>
  </conditionalFormatting>
  <conditionalFormatting sqref="A373">
    <cfRule type="duplicateValues" dxfId="716" priority="205" stopIfTrue="1"/>
    <cfRule type="duplicateValues" dxfId="715" priority="206" stopIfTrue="1"/>
    <cfRule type="duplicateValues" dxfId="714" priority="207" stopIfTrue="1"/>
  </conditionalFormatting>
  <conditionalFormatting sqref="A377">
    <cfRule type="duplicateValues" dxfId="713" priority="204" stopIfTrue="1"/>
  </conditionalFormatting>
  <conditionalFormatting sqref="A377">
    <cfRule type="duplicateValues" dxfId="712" priority="201" stopIfTrue="1"/>
    <cfRule type="duplicateValues" dxfId="711" priority="202" stopIfTrue="1"/>
    <cfRule type="duplicateValues" dxfId="710" priority="203" stopIfTrue="1"/>
  </conditionalFormatting>
  <conditionalFormatting sqref="A378">
    <cfRule type="duplicateValues" dxfId="709" priority="200" stopIfTrue="1"/>
  </conditionalFormatting>
  <conditionalFormatting sqref="A378">
    <cfRule type="duplicateValues" dxfId="708" priority="197" stopIfTrue="1"/>
    <cfRule type="duplicateValues" dxfId="707" priority="198" stopIfTrue="1"/>
    <cfRule type="duplicateValues" dxfId="706" priority="199" stopIfTrue="1"/>
  </conditionalFormatting>
  <conditionalFormatting sqref="A379">
    <cfRule type="duplicateValues" dxfId="705" priority="196" stopIfTrue="1"/>
  </conditionalFormatting>
  <conditionalFormatting sqref="A379">
    <cfRule type="duplicateValues" dxfId="704" priority="193" stopIfTrue="1"/>
    <cfRule type="duplicateValues" dxfId="703" priority="194" stopIfTrue="1"/>
    <cfRule type="duplicateValues" dxfId="702" priority="195" stopIfTrue="1"/>
  </conditionalFormatting>
  <conditionalFormatting sqref="A382">
    <cfRule type="duplicateValues" dxfId="701" priority="192" stopIfTrue="1"/>
  </conditionalFormatting>
  <conditionalFormatting sqref="A382">
    <cfRule type="duplicateValues" dxfId="700" priority="189" stopIfTrue="1"/>
    <cfRule type="duplicateValues" dxfId="699" priority="190" stopIfTrue="1"/>
    <cfRule type="duplicateValues" dxfId="698" priority="191" stopIfTrue="1"/>
  </conditionalFormatting>
  <conditionalFormatting sqref="A386">
    <cfRule type="duplicateValues" dxfId="697" priority="188" stopIfTrue="1"/>
  </conditionalFormatting>
  <conditionalFormatting sqref="A386">
    <cfRule type="duplicateValues" dxfId="696" priority="185" stopIfTrue="1"/>
    <cfRule type="duplicateValues" dxfId="695" priority="186" stopIfTrue="1"/>
    <cfRule type="duplicateValues" dxfId="694" priority="187" stopIfTrue="1"/>
  </conditionalFormatting>
  <conditionalFormatting sqref="A389">
    <cfRule type="duplicateValues" dxfId="693" priority="184" stopIfTrue="1"/>
  </conditionalFormatting>
  <conditionalFormatting sqref="A389">
    <cfRule type="duplicateValues" dxfId="692" priority="181" stopIfTrue="1"/>
    <cfRule type="duplicateValues" dxfId="691" priority="182" stopIfTrue="1"/>
    <cfRule type="duplicateValues" dxfId="690" priority="183" stopIfTrue="1"/>
  </conditionalFormatting>
  <conditionalFormatting sqref="A391">
    <cfRule type="duplicateValues" dxfId="689" priority="180" stopIfTrue="1"/>
  </conditionalFormatting>
  <conditionalFormatting sqref="A391">
    <cfRule type="duplicateValues" dxfId="688" priority="177" stopIfTrue="1"/>
    <cfRule type="duplicateValues" dxfId="687" priority="178" stopIfTrue="1"/>
    <cfRule type="duplicateValues" dxfId="686" priority="179" stopIfTrue="1"/>
  </conditionalFormatting>
  <conditionalFormatting sqref="A392">
    <cfRule type="duplicateValues" dxfId="685" priority="176" stopIfTrue="1"/>
  </conditionalFormatting>
  <conditionalFormatting sqref="A392">
    <cfRule type="duplicateValues" dxfId="684" priority="173" stopIfTrue="1"/>
    <cfRule type="duplicateValues" dxfId="683" priority="174" stopIfTrue="1"/>
    <cfRule type="duplicateValues" dxfId="682" priority="175" stopIfTrue="1"/>
  </conditionalFormatting>
  <conditionalFormatting sqref="A393">
    <cfRule type="duplicateValues" dxfId="681" priority="172" stopIfTrue="1"/>
  </conditionalFormatting>
  <conditionalFormatting sqref="A393">
    <cfRule type="duplicateValues" dxfId="680" priority="169" stopIfTrue="1"/>
    <cfRule type="duplicateValues" dxfId="679" priority="170" stopIfTrue="1"/>
    <cfRule type="duplicateValues" dxfId="678" priority="171" stopIfTrue="1"/>
  </conditionalFormatting>
  <conditionalFormatting sqref="A397">
    <cfRule type="duplicateValues" dxfId="677" priority="168" stopIfTrue="1"/>
  </conditionalFormatting>
  <conditionalFormatting sqref="A397">
    <cfRule type="duplicateValues" dxfId="676" priority="165" stopIfTrue="1"/>
    <cfRule type="duplicateValues" dxfId="675" priority="166" stopIfTrue="1"/>
    <cfRule type="duplicateValues" dxfId="674" priority="167" stopIfTrue="1"/>
  </conditionalFormatting>
  <conditionalFormatting sqref="A401">
    <cfRule type="duplicateValues" dxfId="673" priority="164" stopIfTrue="1"/>
  </conditionalFormatting>
  <conditionalFormatting sqref="A401">
    <cfRule type="duplicateValues" dxfId="672" priority="161" stopIfTrue="1"/>
    <cfRule type="duplicateValues" dxfId="671" priority="162" stopIfTrue="1"/>
    <cfRule type="duplicateValues" dxfId="670" priority="163" stopIfTrue="1"/>
  </conditionalFormatting>
  <conditionalFormatting sqref="A405">
    <cfRule type="duplicateValues" dxfId="669" priority="156" stopIfTrue="1"/>
  </conditionalFormatting>
  <conditionalFormatting sqref="A405">
    <cfRule type="duplicateValues" dxfId="668" priority="153" stopIfTrue="1"/>
    <cfRule type="duplicateValues" dxfId="667" priority="154" stopIfTrue="1"/>
    <cfRule type="duplicateValues" dxfId="666" priority="155" stopIfTrue="1"/>
  </conditionalFormatting>
  <conditionalFormatting sqref="A411">
    <cfRule type="duplicateValues" dxfId="665" priority="148" stopIfTrue="1"/>
  </conditionalFormatting>
  <conditionalFormatting sqref="A411">
    <cfRule type="duplicateValues" dxfId="664" priority="145" stopIfTrue="1"/>
    <cfRule type="duplicateValues" dxfId="663" priority="146" stopIfTrue="1"/>
    <cfRule type="duplicateValues" dxfId="662" priority="147" stopIfTrue="1"/>
  </conditionalFormatting>
  <conditionalFormatting sqref="A407">
    <cfRule type="duplicateValues" dxfId="661" priority="144" stopIfTrue="1"/>
  </conditionalFormatting>
  <conditionalFormatting sqref="A407">
    <cfRule type="duplicateValues" dxfId="660" priority="141" stopIfTrue="1"/>
    <cfRule type="duplicateValues" dxfId="659" priority="142" stopIfTrue="1"/>
    <cfRule type="duplicateValues" dxfId="658" priority="143" stopIfTrue="1"/>
  </conditionalFormatting>
  <conditionalFormatting sqref="A417">
    <cfRule type="duplicateValues" dxfId="657" priority="140" stopIfTrue="1"/>
  </conditionalFormatting>
  <conditionalFormatting sqref="A417">
    <cfRule type="duplicateValues" dxfId="656" priority="137" stopIfTrue="1"/>
    <cfRule type="duplicateValues" dxfId="655" priority="138" stopIfTrue="1"/>
    <cfRule type="duplicateValues" dxfId="654" priority="139" stopIfTrue="1"/>
  </conditionalFormatting>
  <conditionalFormatting sqref="A424">
    <cfRule type="duplicateValues" dxfId="653" priority="136" stopIfTrue="1"/>
  </conditionalFormatting>
  <conditionalFormatting sqref="A424">
    <cfRule type="duplicateValues" dxfId="652" priority="133" stopIfTrue="1"/>
    <cfRule type="duplicateValues" dxfId="651" priority="134" stopIfTrue="1"/>
    <cfRule type="duplicateValues" dxfId="650" priority="135" stopIfTrue="1"/>
  </conditionalFormatting>
  <conditionalFormatting sqref="A425">
    <cfRule type="duplicateValues" dxfId="649" priority="132" stopIfTrue="1"/>
  </conditionalFormatting>
  <conditionalFormatting sqref="A425">
    <cfRule type="duplicateValues" dxfId="648" priority="129" stopIfTrue="1"/>
    <cfRule type="duplicateValues" dxfId="647" priority="130" stopIfTrue="1"/>
    <cfRule type="duplicateValues" dxfId="646" priority="131" stopIfTrue="1"/>
  </conditionalFormatting>
  <conditionalFormatting sqref="A426">
    <cfRule type="duplicateValues" dxfId="645" priority="128" stopIfTrue="1"/>
  </conditionalFormatting>
  <conditionalFormatting sqref="A426">
    <cfRule type="duplicateValues" dxfId="644" priority="125" stopIfTrue="1"/>
    <cfRule type="duplicateValues" dxfId="643" priority="126" stopIfTrue="1"/>
    <cfRule type="duplicateValues" dxfId="642" priority="127" stopIfTrue="1"/>
  </conditionalFormatting>
  <conditionalFormatting sqref="A413">
    <cfRule type="duplicateValues" dxfId="641" priority="124" stopIfTrue="1"/>
  </conditionalFormatting>
  <conditionalFormatting sqref="A413">
    <cfRule type="duplicateValues" dxfId="640" priority="121" stopIfTrue="1"/>
    <cfRule type="duplicateValues" dxfId="639" priority="122" stopIfTrue="1"/>
    <cfRule type="duplicateValues" dxfId="638" priority="123" stopIfTrue="1"/>
  </conditionalFormatting>
  <conditionalFormatting sqref="A431">
    <cfRule type="duplicateValues" dxfId="637" priority="120" stopIfTrue="1"/>
  </conditionalFormatting>
  <conditionalFormatting sqref="A431">
    <cfRule type="duplicateValues" dxfId="636" priority="117" stopIfTrue="1"/>
    <cfRule type="duplicateValues" dxfId="635" priority="118" stopIfTrue="1"/>
    <cfRule type="duplicateValues" dxfId="634" priority="119" stopIfTrue="1"/>
  </conditionalFormatting>
  <conditionalFormatting sqref="A429">
    <cfRule type="duplicateValues" dxfId="633" priority="116" stopIfTrue="1"/>
  </conditionalFormatting>
  <conditionalFormatting sqref="A429">
    <cfRule type="duplicateValues" dxfId="632" priority="113" stopIfTrue="1"/>
    <cfRule type="duplicateValues" dxfId="631" priority="114" stopIfTrue="1"/>
    <cfRule type="duplicateValues" dxfId="630" priority="115" stopIfTrue="1"/>
  </conditionalFormatting>
  <conditionalFormatting sqref="A433">
    <cfRule type="duplicateValues" dxfId="629" priority="112" stopIfTrue="1"/>
  </conditionalFormatting>
  <conditionalFormatting sqref="A433">
    <cfRule type="duplicateValues" dxfId="628" priority="109" stopIfTrue="1"/>
    <cfRule type="duplicateValues" dxfId="627" priority="110" stopIfTrue="1"/>
    <cfRule type="duplicateValues" dxfId="626" priority="111" stopIfTrue="1"/>
  </conditionalFormatting>
  <conditionalFormatting sqref="A434">
    <cfRule type="duplicateValues" dxfId="625" priority="108" stopIfTrue="1"/>
  </conditionalFormatting>
  <conditionalFormatting sqref="A434">
    <cfRule type="duplicateValues" dxfId="624" priority="105" stopIfTrue="1"/>
    <cfRule type="duplicateValues" dxfId="623" priority="106" stopIfTrue="1"/>
    <cfRule type="duplicateValues" dxfId="622" priority="107" stopIfTrue="1"/>
  </conditionalFormatting>
  <conditionalFormatting sqref="A435">
    <cfRule type="duplicateValues" dxfId="621" priority="104" stopIfTrue="1"/>
  </conditionalFormatting>
  <conditionalFormatting sqref="A435">
    <cfRule type="duplicateValues" dxfId="620" priority="101" stopIfTrue="1"/>
    <cfRule type="duplicateValues" dxfId="619" priority="102" stopIfTrue="1"/>
    <cfRule type="duplicateValues" dxfId="618" priority="103" stopIfTrue="1"/>
  </conditionalFormatting>
  <conditionalFormatting sqref="A440">
    <cfRule type="duplicateValues" dxfId="617" priority="100" stopIfTrue="1"/>
  </conditionalFormatting>
  <conditionalFormatting sqref="A440">
    <cfRule type="duplicateValues" dxfId="616" priority="97" stopIfTrue="1"/>
    <cfRule type="duplicateValues" dxfId="615" priority="98" stopIfTrue="1"/>
    <cfRule type="duplicateValues" dxfId="614" priority="99" stopIfTrue="1"/>
  </conditionalFormatting>
  <conditionalFormatting sqref="A441">
    <cfRule type="duplicateValues" dxfId="613" priority="96" stopIfTrue="1"/>
  </conditionalFormatting>
  <conditionalFormatting sqref="A441">
    <cfRule type="duplicateValues" dxfId="612" priority="93" stopIfTrue="1"/>
    <cfRule type="duplicateValues" dxfId="611" priority="94" stopIfTrue="1"/>
    <cfRule type="duplicateValues" dxfId="610" priority="95" stopIfTrue="1"/>
  </conditionalFormatting>
  <conditionalFormatting sqref="A448">
    <cfRule type="duplicateValues" dxfId="609" priority="92" stopIfTrue="1"/>
  </conditionalFormatting>
  <conditionalFormatting sqref="A448">
    <cfRule type="duplicateValues" dxfId="608" priority="89" stopIfTrue="1"/>
    <cfRule type="duplicateValues" dxfId="607" priority="90" stopIfTrue="1"/>
    <cfRule type="duplicateValues" dxfId="606" priority="91" stopIfTrue="1"/>
  </conditionalFormatting>
  <conditionalFormatting sqref="A449">
    <cfRule type="duplicateValues" dxfId="605" priority="88" stopIfTrue="1"/>
  </conditionalFormatting>
  <conditionalFormatting sqref="A449">
    <cfRule type="duplicateValues" dxfId="604" priority="85" stopIfTrue="1"/>
    <cfRule type="duplicateValues" dxfId="603" priority="86" stopIfTrue="1"/>
    <cfRule type="duplicateValues" dxfId="602" priority="87" stopIfTrue="1"/>
  </conditionalFormatting>
  <conditionalFormatting sqref="A447">
    <cfRule type="duplicateValues" dxfId="601" priority="84" stopIfTrue="1"/>
  </conditionalFormatting>
  <conditionalFormatting sqref="A447">
    <cfRule type="duplicateValues" dxfId="600" priority="81" stopIfTrue="1"/>
    <cfRule type="duplicateValues" dxfId="599" priority="82" stopIfTrue="1"/>
    <cfRule type="duplicateValues" dxfId="598" priority="83" stopIfTrue="1"/>
  </conditionalFormatting>
  <conditionalFormatting sqref="A453">
    <cfRule type="duplicateValues" dxfId="597" priority="80" stopIfTrue="1"/>
  </conditionalFormatting>
  <conditionalFormatting sqref="A453">
    <cfRule type="duplicateValues" dxfId="596" priority="77" stopIfTrue="1"/>
    <cfRule type="duplicateValues" dxfId="595" priority="78" stopIfTrue="1"/>
    <cfRule type="duplicateValues" dxfId="594" priority="79" stopIfTrue="1"/>
  </conditionalFormatting>
  <conditionalFormatting sqref="A455">
    <cfRule type="duplicateValues" dxfId="593" priority="76" stopIfTrue="1"/>
  </conditionalFormatting>
  <conditionalFormatting sqref="A455">
    <cfRule type="duplicateValues" dxfId="592" priority="73" stopIfTrue="1"/>
    <cfRule type="duplicateValues" dxfId="591" priority="74" stopIfTrue="1"/>
    <cfRule type="duplicateValues" dxfId="590" priority="75" stopIfTrue="1"/>
  </conditionalFormatting>
  <conditionalFormatting sqref="A457">
    <cfRule type="duplicateValues" dxfId="589" priority="72" stopIfTrue="1"/>
  </conditionalFormatting>
  <conditionalFormatting sqref="A457">
    <cfRule type="duplicateValues" dxfId="588" priority="69" stopIfTrue="1"/>
    <cfRule type="duplicateValues" dxfId="587" priority="70" stopIfTrue="1"/>
    <cfRule type="duplicateValues" dxfId="586" priority="71" stopIfTrue="1"/>
  </conditionalFormatting>
  <conditionalFormatting sqref="A461">
    <cfRule type="duplicateValues" dxfId="585" priority="68" stopIfTrue="1"/>
  </conditionalFormatting>
  <conditionalFormatting sqref="A461">
    <cfRule type="duplicateValues" dxfId="584" priority="65" stopIfTrue="1"/>
    <cfRule type="duplicateValues" dxfId="583" priority="66" stopIfTrue="1"/>
    <cfRule type="duplicateValues" dxfId="582" priority="67" stopIfTrue="1"/>
  </conditionalFormatting>
  <conditionalFormatting sqref="A462">
    <cfRule type="duplicateValues" dxfId="581" priority="64" stopIfTrue="1"/>
  </conditionalFormatting>
  <conditionalFormatting sqref="A462">
    <cfRule type="duplicateValues" dxfId="580" priority="61" stopIfTrue="1"/>
    <cfRule type="duplicateValues" dxfId="579" priority="62" stopIfTrue="1"/>
    <cfRule type="duplicateValues" dxfId="578" priority="63" stopIfTrue="1"/>
  </conditionalFormatting>
  <conditionalFormatting sqref="A463">
    <cfRule type="duplicateValues" dxfId="577" priority="60" stopIfTrue="1"/>
  </conditionalFormatting>
  <conditionalFormatting sqref="A463">
    <cfRule type="duplicateValues" dxfId="576" priority="57" stopIfTrue="1"/>
    <cfRule type="duplicateValues" dxfId="575" priority="58" stopIfTrue="1"/>
    <cfRule type="duplicateValues" dxfId="574" priority="59" stopIfTrue="1"/>
  </conditionalFormatting>
  <conditionalFormatting sqref="A466">
    <cfRule type="duplicateValues" dxfId="573" priority="56" stopIfTrue="1"/>
  </conditionalFormatting>
  <conditionalFormatting sqref="A466">
    <cfRule type="duplicateValues" dxfId="572" priority="53" stopIfTrue="1"/>
    <cfRule type="duplicateValues" dxfId="571" priority="54" stopIfTrue="1"/>
    <cfRule type="duplicateValues" dxfId="570" priority="55" stopIfTrue="1"/>
  </conditionalFormatting>
  <conditionalFormatting sqref="A468">
    <cfRule type="duplicateValues" dxfId="569" priority="52" stopIfTrue="1"/>
  </conditionalFormatting>
  <conditionalFormatting sqref="A468">
    <cfRule type="duplicateValues" dxfId="568" priority="49" stopIfTrue="1"/>
    <cfRule type="duplicateValues" dxfId="567" priority="50" stopIfTrue="1"/>
    <cfRule type="duplicateValues" dxfId="566" priority="51" stopIfTrue="1"/>
  </conditionalFormatting>
  <conditionalFormatting sqref="A472">
    <cfRule type="duplicateValues" dxfId="565" priority="48" stopIfTrue="1"/>
  </conditionalFormatting>
  <conditionalFormatting sqref="A472">
    <cfRule type="duplicateValues" dxfId="564" priority="45" stopIfTrue="1"/>
    <cfRule type="duplicateValues" dxfId="563" priority="46" stopIfTrue="1"/>
    <cfRule type="duplicateValues" dxfId="562" priority="47" stopIfTrue="1"/>
  </conditionalFormatting>
  <conditionalFormatting sqref="A476">
    <cfRule type="duplicateValues" dxfId="561" priority="44" stopIfTrue="1"/>
  </conditionalFormatting>
  <conditionalFormatting sqref="A476">
    <cfRule type="duplicateValues" dxfId="560" priority="41" stopIfTrue="1"/>
    <cfRule type="duplicateValues" dxfId="559" priority="42" stopIfTrue="1"/>
    <cfRule type="duplicateValues" dxfId="558" priority="43" stopIfTrue="1"/>
  </conditionalFormatting>
  <conditionalFormatting sqref="A481">
    <cfRule type="duplicateValues" dxfId="557" priority="40" stopIfTrue="1"/>
  </conditionalFormatting>
  <conditionalFormatting sqref="A481">
    <cfRule type="duplicateValues" dxfId="556" priority="37" stopIfTrue="1"/>
    <cfRule type="duplicateValues" dxfId="555" priority="38" stopIfTrue="1"/>
    <cfRule type="duplicateValues" dxfId="554" priority="39" stopIfTrue="1"/>
  </conditionalFormatting>
  <conditionalFormatting sqref="A530">
    <cfRule type="duplicateValues" dxfId="553" priority="32" stopIfTrue="1"/>
  </conditionalFormatting>
  <conditionalFormatting sqref="A530">
    <cfRule type="duplicateValues" dxfId="552" priority="29" stopIfTrue="1"/>
    <cfRule type="duplicateValues" dxfId="551" priority="30" stopIfTrue="1"/>
    <cfRule type="duplicateValues" dxfId="550" priority="31" stopIfTrue="1"/>
  </conditionalFormatting>
  <conditionalFormatting sqref="A532">
    <cfRule type="duplicateValues" dxfId="549" priority="28" stopIfTrue="1"/>
  </conditionalFormatting>
  <conditionalFormatting sqref="A532">
    <cfRule type="duplicateValues" dxfId="548" priority="25" stopIfTrue="1"/>
    <cfRule type="duplicateValues" dxfId="547" priority="26" stopIfTrue="1"/>
    <cfRule type="duplicateValues" dxfId="546" priority="27" stopIfTrue="1"/>
  </conditionalFormatting>
  <conditionalFormatting sqref="A533">
    <cfRule type="duplicateValues" dxfId="545" priority="24" stopIfTrue="1"/>
  </conditionalFormatting>
  <conditionalFormatting sqref="A533">
    <cfRule type="duplicateValues" dxfId="544" priority="21" stopIfTrue="1"/>
    <cfRule type="duplicateValues" dxfId="543" priority="22" stopIfTrue="1"/>
    <cfRule type="duplicateValues" dxfId="542" priority="23" stopIfTrue="1"/>
  </conditionalFormatting>
  <conditionalFormatting sqref="A534">
    <cfRule type="duplicateValues" dxfId="541" priority="20" stopIfTrue="1"/>
  </conditionalFormatting>
  <conditionalFormatting sqref="A534">
    <cfRule type="duplicateValues" dxfId="540" priority="17" stopIfTrue="1"/>
    <cfRule type="duplicateValues" dxfId="539" priority="18" stopIfTrue="1"/>
    <cfRule type="duplicateValues" dxfId="538" priority="19" stopIfTrue="1"/>
  </conditionalFormatting>
  <conditionalFormatting sqref="A67">
    <cfRule type="duplicateValues" dxfId="537" priority="16" stopIfTrue="1"/>
  </conditionalFormatting>
  <conditionalFormatting sqref="A67">
    <cfRule type="duplicateValues" dxfId="536" priority="13" stopIfTrue="1"/>
    <cfRule type="duplicateValues" dxfId="535" priority="14" stopIfTrue="1"/>
    <cfRule type="duplicateValues" dxfId="534" priority="15" stopIfTrue="1"/>
  </conditionalFormatting>
  <conditionalFormatting sqref="A160">
    <cfRule type="duplicateValues" dxfId="533" priority="12" stopIfTrue="1"/>
  </conditionalFormatting>
  <conditionalFormatting sqref="A160">
    <cfRule type="duplicateValues" dxfId="532" priority="9" stopIfTrue="1"/>
    <cfRule type="duplicateValues" dxfId="531" priority="10" stopIfTrue="1"/>
    <cfRule type="duplicateValues" dxfId="530" priority="11" stopIfTrue="1"/>
  </conditionalFormatting>
  <conditionalFormatting sqref="A284">
    <cfRule type="duplicateValues" dxfId="529" priority="8" stopIfTrue="1"/>
  </conditionalFormatting>
  <conditionalFormatting sqref="A284">
    <cfRule type="duplicateValues" dxfId="528" priority="5" stopIfTrue="1"/>
    <cfRule type="duplicateValues" dxfId="527" priority="6" stopIfTrue="1"/>
    <cfRule type="duplicateValues" dxfId="526" priority="7" stopIfTrue="1"/>
  </conditionalFormatting>
  <conditionalFormatting sqref="A542">
    <cfRule type="duplicateValues" dxfId="525" priority="4" stopIfTrue="1"/>
  </conditionalFormatting>
  <conditionalFormatting sqref="A542">
    <cfRule type="duplicateValues" dxfId="524" priority="1" stopIfTrue="1"/>
    <cfRule type="duplicateValues" dxfId="523" priority="2" stopIfTrue="1"/>
    <cfRule type="duplicateValues" dxfId="522" priority="3" stopIfTrue="1"/>
  </conditionalFormatting>
  <dataValidations disablePrompts="1" count="2">
    <dataValidation type="list" allowBlank="1" showInputMessage="1" showErrorMessage="1" sqref="G200" xr:uid="{00000000-0002-0000-0200-000000000000}">
      <formula1>INDIRECT(#REF!)</formula1>
    </dataValidation>
    <dataValidation type="list" allowBlank="1" showInputMessage="1" showErrorMessage="1" sqref="G201" xr:uid="{00000000-0002-0000-0200-000001000000}">
      <formula1>INDIRECT($AM199)</formula1>
    </dataValidation>
  </dataValidations>
  <pageMargins left="1.77" right="0" top="1" bottom="0.5" header="0.5" footer="0.5"/>
  <pageSetup paperSize="9" scale="80" orientation="landscape" r:id="rId1"/>
  <rowBreaks count="20" manualBreakCount="20">
    <brk id="22" min="1" max="9" man="1"/>
    <brk id="47" min="1" max="9" man="1"/>
    <brk id="73" min="1" max="9" man="1"/>
    <brk id="101" min="1" max="9" man="1"/>
    <brk id="120" min="1" max="9" man="1"/>
    <brk id="149" min="1" max="9" man="1"/>
    <brk id="172" min="1" max="9" man="1"/>
    <brk id="198" min="1" max="9" man="1"/>
    <brk id="222" min="1" max="9" man="1"/>
    <brk id="249" min="1" max="9" man="1"/>
    <brk id="271" min="1" max="9" man="1"/>
    <brk id="299" min="1" max="9" man="1"/>
    <brk id="319" min="1" max="9" man="1"/>
    <brk id="368" min="1" max="9" man="1"/>
    <brk id="395" min="1" max="9" man="1"/>
    <brk id="420" min="1" max="9" man="1"/>
    <brk id="451" min="1" max="9" man="1"/>
    <brk id="478" min="1" max="9" man="1"/>
    <brk id="509" min="1" max="9" man="1"/>
    <brk id="540" min="1" max="9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8"/>
  <sheetViews>
    <sheetView showGridLines="0" view="pageBreakPreview" zoomScale="70" zoomScaleNormal="100" zoomScaleSheetLayoutView="70" zoomScalePageLayoutView="80" workbookViewId="0">
      <selection activeCell="F9" sqref="F9"/>
    </sheetView>
  </sheetViews>
  <sheetFormatPr defaultRowHeight="30" customHeight="1" x14ac:dyDescent="0.25"/>
  <cols>
    <col min="1" max="1" width="17.7109375" style="594" customWidth="1"/>
    <col min="2" max="2" width="50.7109375" style="595" customWidth="1"/>
    <col min="3" max="3" width="23.5703125" style="594" customWidth="1"/>
    <col min="4" max="4" width="24.140625" style="594" customWidth="1"/>
    <col min="5" max="5" width="21.42578125" style="594" customWidth="1"/>
    <col min="6" max="6" width="24.85546875" style="594" customWidth="1"/>
    <col min="7" max="7" width="24.7109375" style="594" customWidth="1"/>
    <col min="8" max="8" width="25.7109375" style="594" customWidth="1"/>
    <col min="9" max="9" width="6.5703125" style="567" customWidth="1"/>
    <col min="10" max="10" width="29.7109375" style="568" customWidth="1"/>
    <col min="11" max="11" width="27.85546875" style="960" customWidth="1"/>
    <col min="12" max="12" width="19.5703125" style="532" customWidth="1"/>
    <col min="13" max="13" width="17.5703125" style="533" customWidth="1"/>
    <col min="14" max="14" width="16.28515625" style="533" customWidth="1"/>
    <col min="15" max="16384" width="9.140625" style="533"/>
  </cols>
  <sheetData>
    <row r="1" spans="1:12" s="947" customFormat="1" ht="93" customHeight="1" x14ac:dyDescent="0.25">
      <c r="A1" s="503" t="s">
        <v>671</v>
      </c>
      <c r="B1" s="503" t="s">
        <v>672</v>
      </c>
      <c r="C1" s="504" t="s">
        <v>673</v>
      </c>
      <c r="D1" s="504" t="s">
        <v>2071</v>
      </c>
      <c r="E1" s="504" t="s">
        <v>674</v>
      </c>
      <c r="F1" s="504" t="s">
        <v>675</v>
      </c>
      <c r="G1" s="504" t="s">
        <v>2072</v>
      </c>
      <c r="H1" s="504" t="s">
        <v>2069</v>
      </c>
      <c r="I1" s="505"/>
      <c r="J1" s="506"/>
      <c r="K1" s="507"/>
      <c r="L1" s="946"/>
    </row>
    <row r="2" spans="1:12" s="949" customFormat="1" ht="30" customHeight="1" x14ac:dyDescent="0.25">
      <c r="A2" s="889"/>
      <c r="B2" s="889" t="s">
        <v>676</v>
      </c>
      <c r="C2" s="508"/>
      <c r="D2" s="508"/>
      <c r="E2" s="508"/>
      <c r="F2" s="508"/>
      <c r="G2" s="508"/>
      <c r="H2" s="508"/>
      <c r="I2" s="509"/>
      <c r="J2" s="510"/>
      <c r="K2" s="511"/>
      <c r="L2" s="948"/>
    </row>
    <row r="3" spans="1:12" ht="33" customHeight="1" x14ac:dyDescent="0.25">
      <c r="A3" s="512" t="s">
        <v>2197</v>
      </c>
      <c r="B3" s="513" t="s">
        <v>677</v>
      </c>
      <c r="C3" s="514">
        <v>12090158413</v>
      </c>
      <c r="D3" s="514">
        <f>[6]Personnel!J4</f>
        <v>1088344179</v>
      </c>
      <c r="E3" s="515">
        <f>[6]Overhead!J24</f>
        <v>234076900</v>
      </c>
      <c r="F3" s="515">
        <f>[6]Overhead!J23</f>
        <v>10767737334</v>
      </c>
      <c r="G3" s="515">
        <f>E3+F3</f>
        <v>11001814234</v>
      </c>
      <c r="H3" s="516">
        <f>D3+G3</f>
        <v>12090158413</v>
      </c>
      <c r="I3" s="517"/>
      <c r="J3" s="518"/>
      <c r="K3" s="519"/>
    </row>
    <row r="4" spans="1:12" ht="39" customHeight="1" x14ac:dyDescent="0.25">
      <c r="A4" s="512" t="s">
        <v>2187</v>
      </c>
      <c r="B4" s="520" t="s">
        <v>678</v>
      </c>
      <c r="C4" s="514">
        <v>50000000</v>
      </c>
      <c r="D4" s="514"/>
      <c r="E4" s="515"/>
      <c r="F4" s="515">
        <f>[6]Overhead!J26</f>
        <v>50000000</v>
      </c>
      <c r="G4" s="515">
        <f t="shared" ref="G4:G30" si="0">E4+F4</f>
        <v>50000000</v>
      </c>
      <c r="H4" s="516">
        <f t="shared" ref="H4:H30" si="1">D4+G4</f>
        <v>50000000</v>
      </c>
      <c r="I4" s="517"/>
      <c r="J4" s="518"/>
      <c r="K4" s="519"/>
    </row>
    <row r="5" spans="1:12" ht="37.5" customHeight="1" x14ac:dyDescent="0.25">
      <c r="A5" s="512" t="s">
        <v>714</v>
      </c>
      <c r="B5" s="520" t="s">
        <v>680</v>
      </c>
      <c r="C5" s="514">
        <v>36000000</v>
      </c>
      <c r="D5" s="514"/>
      <c r="E5" s="515">
        <f>[6]Overhead!J28</f>
        <v>6000000</v>
      </c>
      <c r="F5" s="515">
        <f>[6]Overhead!J27</f>
        <v>30000000</v>
      </c>
      <c r="G5" s="515">
        <f t="shared" si="0"/>
        <v>36000000</v>
      </c>
      <c r="H5" s="516">
        <f t="shared" si="1"/>
        <v>36000000</v>
      </c>
      <c r="I5" s="517"/>
      <c r="J5" s="518"/>
      <c r="K5" s="519"/>
    </row>
    <row r="6" spans="1:12" ht="28.5" customHeight="1" x14ac:dyDescent="0.25">
      <c r="A6" s="879" t="s">
        <v>2185</v>
      </c>
      <c r="B6" s="521" t="s">
        <v>682</v>
      </c>
      <c r="C6" s="514">
        <v>23000000</v>
      </c>
      <c r="D6" s="514"/>
      <c r="E6" s="515">
        <f>[6]Overhead!J33</f>
        <v>6000000</v>
      </c>
      <c r="F6" s="515">
        <f>[6]Overhead!J32</f>
        <v>17000000</v>
      </c>
      <c r="G6" s="515">
        <f t="shared" si="0"/>
        <v>23000000</v>
      </c>
      <c r="H6" s="516">
        <f t="shared" si="1"/>
        <v>23000000</v>
      </c>
      <c r="I6" s="517"/>
      <c r="J6" s="518"/>
      <c r="K6" s="519"/>
    </row>
    <row r="7" spans="1:12" ht="33" customHeight="1" x14ac:dyDescent="0.25">
      <c r="A7" s="879" t="s">
        <v>2193</v>
      </c>
      <c r="B7" s="520" t="s">
        <v>683</v>
      </c>
      <c r="C7" s="514">
        <v>15000000</v>
      </c>
      <c r="D7" s="514"/>
      <c r="E7" s="515"/>
      <c r="F7" s="515">
        <f>[6]Overhead!J35</f>
        <v>15000000</v>
      </c>
      <c r="G7" s="515">
        <f t="shared" si="0"/>
        <v>15000000</v>
      </c>
      <c r="H7" s="516">
        <f t="shared" si="1"/>
        <v>15000000</v>
      </c>
      <c r="I7" s="517"/>
      <c r="J7" s="518"/>
      <c r="K7" s="519"/>
    </row>
    <row r="8" spans="1:12" ht="28.5" customHeight="1" x14ac:dyDescent="0.25">
      <c r="A8" s="512" t="s">
        <v>684</v>
      </c>
      <c r="B8" s="513" t="s">
        <v>685</v>
      </c>
      <c r="C8" s="514">
        <v>15000000</v>
      </c>
      <c r="D8" s="514"/>
      <c r="E8" s="515"/>
      <c r="F8" s="515">
        <f>[6]Overhead!J36</f>
        <v>15000000</v>
      </c>
      <c r="G8" s="515">
        <f t="shared" si="0"/>
        <v>15000000</v>
      </c>
      <c r="H8" s="516">
        <f t="shared" si="1"/>
        <v>15000000</v>
      </c>
      <c r="I8" s="517"/>
      <c r="J8" s="518"/>
      <c r="K8" s="519"/>
    </row>
    <row r="9" spans="1:12" ht="31.5" customHeight="1" x14ac:dyDescent="0.25">
      <c r="A9" s="512" t="s">
        <v>686</v>
      </c>
      <c r="B9" s="513" t="s">
        <v>687</v>
      </c>
      <c r="C9" s="514">
        <v>15000000</v>
      </c>
      <c r="D9" s="514"/>
      <c r="E9" s="515"/>
      <c r="F9" s="515">
        <f>[6]Overhead!J37</f>
        <v>15000000</v>
      </c>
      <c r="G9" s="515">
        <f t="shared" si="0"/>
        <v>15000000</v>
      </c>
      <c r="H9" s="516">
        <f t="shared" si="1"/>
        <v>15000000</v>
      </c>
      <c r="I9" s="517"/>
      <c r="J9" s="518"/>
      <c r="K9" s="519"/>
    </row>
    <row r="10" spans="1:12" ht="29.25" customHeight="1" x14ac:dyDescent="0.25">
      <c r="A10" s="512" t="s">
        <v>2194</v>
      </c>
      <c r="B10" s="520" t="s">
        <v>688</v>
      </c>
      <c r="C10" s="514">
        <v>18000000</v>
      </c>
      <c r="D10" s="514"/>
      <c r="E10" s="515"/>
      <c r="F10" s="515">
        <f>[6]Overhead!J48</f>
        <v>18000000</v>
      </c>
      <c r="G10" s="515">
        <f t="shared" si="0"/>
        <v>18000000</v>
      </c>
      <c r="H10" s="516">
        <f t="shared" si="1"/>
        <v>18000000</v>
      </c>
      <c r="I10" s="517"/>
      <c r="J10" s="518"/>
      <c r="K10" s="519"/>
    </row>
    <row r="11" spans="1:12" ht="27" customHeight="1" x14ac:dyDescent="0.25">
      <c r="A11" s="512" t="s">
        <v>2186</v>
      </c>
      <c r="B11" s="513" t="s">
        <v>689</v>
      </c>
      <c r="C11" s="514">
        <v>100000000</v>
      </c>
      <c r="D11" s="514"/>
      <c r="E11" s="515"/>
      <c r="F11" s="515">
        <f>[6]Overhead!J49</f>
        <v>172800000</v>
      </c>
      <c r="G11" s="515">
        <f t="shared" si="0"/>
        <v>172800000</v>
      </c>
      <c r="H11" s="516">
        <f t="shared" si="1"/>
        <v>172800000</v>
      </c>
      <c r="I11" s="517"/>
      <c r="J11" s="518"/>
      <c r="K11" s="519"/>
    </row>
    <row r="12" spans="1:12" ht="33" customHeight="1" x14ac:dyDescent="0.25">
      <c r="A12" s="512" t="s">
        <v>679</v>
      </c>
      <c r="B12" s="513" t="s">
        <v>690</v>
      </c>
      <c r="C12" s="514">
        <v>10000000</v>
      </c>
      <c r="D12" s="514"/>
      <c r="E12" s="515"/>
      <c r="F12" s="515">
        <f>[6]Overhead!J50</f>
        <v>10000000</v>
      </c>
      <c r="G12" s="515">
        <f t="shared" si="0"/>
        <v>10000000</v>
      </c>
      <c r="H12" s="516">
        <f t="shared" si="1"/>
        <v>10000000</v>
      </c>
      <c r="I12" s="517"/>
      <c r="J12" s="518"/>
      <c r="K12" s="519"/>
    </row>
    <row r="13" spans="1:12" ht="38.25" customHeight="1" x14ac:dyDescent="0.25">
      <c r="A13" s="512" t="s">
        <v>2188</v>
      </c>
      <c r="B13" s="513" t="s">
        <v>691</v>
      </c>
      <c r="C13" s="514">
        <v>36000000</v>
      </c>
      <c r="D13" s="514"/>
      <c r="E13" s="515"/>
      <c r="F13" s="515">
        <f>[6]Overhead!J51</f>
        <v>36000000</v>
      </c>
      <c r="G13" s="515">
        <f t="shared" si="0"/>
        <v>36000000</v>
      </c>
      <c r="H13" s="516">
        <f t="shared" si="1"/>
        <v>36000000</v>
      </c>
      <c r="I13" s="517"/>
      <c r="J13" s="518"/>
      <c r="K13" s="519"/>
    </row>
    <row r="14" spans="1:12" ht="25.5" customHeight="1" x14ac:dyDescent="0.25">
      <c r="A14" s="512" t="s">
        <v>699</v>
      </c>
      <c r="B14" s="520" t="s">
        <v>693</v>
      </c>
      <c r="C14" s="514">
        <v>18000000</v>
      </c>
      <c r="D14" s="514"/>
      <c r="E14" s="515"/>
      <c r="F14" s="515">
        <f>[6]Overhead!J52</f>
        <v>18000000</v>
      </c>
      <c r="G14" s="515">
        <f t="shared" si="0"/>
        <v>18000000</v>
      </c>
      <c r="H14" s="516">
        <f t="shared" si="1"/>
        <v>18000000</v>
      </c>
      <c r="I14" s="517"/>
      <c r="J14" s="518"/>
      <c r="K14" s="519"/>
    </row>
    <row r="15" spans="1:12" ht="36.75" customHeight="1" x14ac:dyDescent="0.25">
      <c r="A15" s="512" t="s">
        <v>694</v>
      </c>
      <c r="B15" s="513" t="s">
        <v>695</v>
      </c>
      <c r="C15" s="514">
        <v>20000000</v>
      </c>
      <c r="D15" s="514"/>
      <c r="E15" s="515"/>
      <c r="F15" s="515">
        <f>[6]Overhead!J53</f>
        <v>20000000</v>
      </c>
      <c r="G15" s="515">
        <f t="shared" si="0"/>
        <v>20000000</v>
      </c>
      <c r="H15" s="516">
        <f t="shared" si="1"/>
        <v>20000000</v>
      </c>
      <c r="I15" s="517"/>
      <c r="J15" s="518"/>
      <c r="K15" s="519"/>
    </row>
    <row r="16" spans="1:12" ht="39" customHeight="1" x14ac:dyDescent="0.25">
      <c r="A16" s="512" t="s">
        <v>2195</v>
      </c>
      <c r="B16" s="513" t="s">
        <v>697</v>
      </c>
      <c r="C16" s="514">
        <v>33500000</v>
      </c>
      <c r="D16" s="514"/>
      <c r="E16" s="515"/>
      <c r="F16" s="515">
        <f>[6]Overhead!J54</f>
        <v>33500000</v>
      </c>
      <c r="G16" s="515">
        <f t="shared" si="0"/>
        <v>33500000</v>
      </c>
      <c r="H16" s="516">
        <f t="shared" si="1"/>
        <v>33500000</v>
      </c>
      <c r="I16" s="517"/>
      <c r="J16" s="518"/>
      <c r="K16" s="519"/>
    </row>
    <row r="17" spans="1:11" ht="33" customHeight="1" x14ac:dyDescent="0.25">
      <c r="A17" s="512" t="s">
        <v>2189</v>
      </c>
      <c r="B17" s="521" t="s">
        <v>698</v>
      </c>
      <c r="C17" s="514">
        <v>125000000</v>
      </c>
      <c r="D17" s="514"/>
      <c r="E17" s="515">
        <f>[6]Overhead!J56</f>
        <v>45000000</v>
      </c>
      <c r="F17" s="515">
        <f>[6]Overhead!J55</f>
        <v>80000000</v>
      </c>
      <c r="G17" s="515">
        <f t="shared" si="0"/>
        <v>125000000</v>
      </c>
      <c r="H17" s="516">
        <f t="shared" si="1"/>
        <v>125000000</v>
      </c>
      <c r="I17" s="517"/>
      <c r="J17" s="518"/>
      <c r="K17" s="519"/>
    </row>
    <row r="18" spans="1:11" ht="68.25" customHeight="1" x14ac:dyDescent="0.25">
      <c r="A18" s="522"/>
      <c r="B18" s="523"/>
      <c r="C18" s="524"/>
      <c r="D18" s="524">
        <v>28</v>
      </c>
      <c r="E18" s="525"/>
      <c r="F18" s="525"/>
      <c r="G18" s="525"/>
      <c r="H18" s="526"/>
      <c r="I18" s="517"/>
      <c r="J18" s="518"/>
      <c r="K18" s="519"/>
    </row>
    <row r="19" spans="1:11" ht="33" customHeight="1" x14ac:dyDescent="0.25">
      <c r="A19" s="512" t="s">
        <v>2190</v>
      </c>
      <c r="B19" s="513" t="s">
        <v>700</v>
      </c>
      <c r="C19" s="514">
        <v>80000000</v>
      </c>
      <c r="D19" s="514"/>
      <c r="E19" s="515"/>
      <c r="F19" s="515">
        <f>[6]Overhead!J60</f>
        <v>80000000</v>
      </c>
      <c r="G19" s="515">
        <f t="shared" si="0"/>
        <v>80000000</v>
      </c>
      <c r="H19" s="516">
        <f t="shared" si="1"/>
        <v>80000000</v>
      </c>
      <c r="I19" s="517"/>
      <c r="J19" s="518"/>
      <c r="K19" s="519"/>
    </row>
    <row r="20" spans="1:11" ht="33" customHeight="1" x14ac:dyDescent="0.25">
      <c r="A20" s="512" t="s">
        <v>701</v>
      </c>
      <c r="B20" s="513" t="s">
        <v>702</v>
      </c>
      <c r="C20" s="514">
        <v>5000000</v>
      </c>
      <c r="D20" s="514"/>
      <c r="E20" s="515"/>
      <c r="F20" s="515">
        <f>[6]Overhead!J61</f>
        <v>5000000</v>
      </c>
      <c r="G20" s="515">
        <f t="shared" si="0"/>
        <v>5000000</v>
      </c>
      <c r="H20" s="516">
        <f t="shared" si="1"/>
        <v>5000000</v>
      </c>
      <c r="I20" s="517"/>
      <c r="J20" s="518"/>
      <c r="K20" s="519"/>
    </row>
    <row r="21" spans="1:11" ht="33" customHeight="1" x14ac:dyDescent="0.25">
      <c r="A21" s="512" t="s">
        <v>703</v>
      </c>
      <c r="B21" s="527" t="s">
        <v>704</v>
      </c>
      <c r="C21" s="514">
        <v>15000000</v>
      </c>
      <c r="D21" s="514"/>
      <c r="E21" s="515"/>
      <c r="F21" s="515">
        <f>[6]Overhead!J62</f>
        <v>15000000</v>
      </c>
      <c r="G21" s="515">
        <f t="shared" si="0"/>
        <v>15000000</v>
      </c>
      <c r="H21" s="516">
        <f t="shared" si="1"/>
        <v>15000000</v>
      </c>
      <c r="I21" s="517"/>
      <c r="J21" s="518"/>
      <c r="K21" s="519"/>
    </row>
    <row r="22" spans="1:11" ht="33" customHeight="1" x14ac:dyDescent="0.25">
      <c r="A22" s="512" t="s">
        <v>2191</v>
      </c>
      <c r="B22" s="513" t="s">
        <v>705</v>
      </c>
      <c r="C22" s="514">
        <v>15000000</v>
      </c>
      <c r="D22" s="514"/>
      <c r="E22" s="515"/>
      <c r="F22" s="515">
        <f>[6]Overhead!J63</f>
        <v>15000000</v>
      </c>
      <c r="G22" s="515">
        <f t="shared" si="0"/>
        <v>15000000</v>
      </c>
      <c r="H22" s="516">
        <f t="shared" si="1"/>
        <v>15000000</v>
      </c>
      <c r="I22" s="517"/>
      <c r="J22" s="518"/>
      <c r="K22" s="519"/>
    </row>
    <row r="23" spans="1:11" ht="33" customHeight="1" x14ac:dyDescent="0.25">
      <c r="A23" s="512" t="s">
        <v>696</v>
      </c>
      <c r="B23" s="513" t="s">
        <v>706</v>
      </c>
      <c r="C23" s="514">
        <v>30000000</v>
      </c>
      <c r="D23" s="514"/>
      <c r="E23" s="515"/>
      <c r="F23" s="515">
        <f>[6]Overhead!J64</f>
        <v>30000000</v>
      </c>
      <c r="G23" s="515">
        <f t="shared" si="0"/>
        <v>30000000</v>
      </c>
      <c r="H23" s="516">
        <f t="shared" si="1"/>
        <v>30000000</v>
      </c>
      <c r="I23" s="517"/>
      <c r="J23" s="518"/>
      <c r="K23" s="519"/>
    </row>
    <row r="24" spans="1:11" ht="33" customHeight="1" x14ac:dyDescent="0.25">
      <c r="A24" s="512" t="s">
        <v>2192</v>
      </c>
      <c r="B24" s="513" t="s">
        <v>707</v>
      </c>
      <c r="C24" s="514">
        <v>10000000</v>
      </c>
      <c r="D24" s="514"/>
      <c r="E24" s="515"/>
      <c r="F24" s="515">
        <f>[6]Overhead!J65</f>
        <v>10000000</v>
      </c>
      <c r="G24" s="515">
        <f t="shared" si="0"/>
        <v>10000000</v>
      </c>
      <c r="H24" s="516">
        <f t="shared" si="1"/>
        <v>10000000</v>
      </c>
      <c r="I24" s="517"/>
      <c r="J24" s="518"/>
      <c r="K24" s="519"/>
    </row>
    <row r="25" spans="1:11" ht="24.75" customHeight="1" x14ac:dyDescent="0.25">
      <c r="A25" s="512" t="s">
        <v>708</v>
      </c>
      <c r="B25" s="513" t="s">
        <v>709</v>
      </c>
      <c r="C25" s="514">
        <v>10000000</v>
      </c>
      <c r="D25" s="514"/>
      <c r="E25" s="515"/>
      <c r="F25" s="515">
        <f>[6]Overhead!J66</f>
        <v>10000000</v>
      </c>
      <c r="G25" s="515">
        <f t="shared" si="0"/>
        <v>10000000</v>
      </c>
      <c r="H25" s="516">
        <f t="shared" si="1"/>
        <v>10000000</v>
      </c>
      <c r="I25" s="517"/>
      <c r="J25" s="518"/>
      <c r="K25" s="519"/>
    </row>
    <row r="26" spans="1:11" ht="23.25" customHeight="1" x14ac:dyDescent="0.25">
      <c r="A26" s="512" t="s">
        <v>899</v>
      </c>
      <c r="B26" s="513" t="s">
        <v>710</v>
      </c>
      <c r="C26" s="514">
        <v>10000000</v>
      </c>
      <c r="D26" s="514"/>
      <c r="E26" s="515"/>
      <c r="F26" s="515">
        <f>[6]Overhead!J67</f>
        <v>10000000</v>
      </c>
      <c r="G26" s="515">
        <f t="shared" si="0"/>
        <v>10000000</v>
      </c>
      <c r="H26" s="516">
        <f t="shared" si="1"/>
        <v>10000000</v>
      </c>
      <c r="I26" s="517"/>
      <c r="J26" s="518"/>
      <c r="K26" s="519"/>
    </row>
    <row r="27" spans="1:11" ht="33" customHeight="1" x14ac:dyDescent="0.25">
      <c r="A27" s="512" t="s">
        <v>711</v>
      </c>
      <c r="B27" s="513" t="s">
        <v>712</v>
      </c>
      <c r="C27" s="514">
        <v>10000000</v>
      </c>
      <c r="D27" s="514"/>
      <c r="E27" s="515"/>
      <c r="F27" s="515">
        <f>[6]Overhead!J68</f>
        <v>10000000</v>
      </c>
      <c r="G27" s="515">
        <f t="shared" si="0"/>
        <v>10000000</v>
      </c>
      <c r="H27" s="516">
        <f t="shared" si="1"/>
        <v>10000000</v>
      </c>
      <c r="I27" s="517"/>
      <c r="J27" s="518"/>
      <c r="K27" s="519"/>
    </row>
    <row r="28" spans="1:11" ht="41.25" customHeight="1" x14ac:dyDescent="0.25">
      <c r="A28" s="512" t="s">
        <v>681</v>
      </c>
      <c r="B28" s="520" t="s">
        <v>713</v>
      </c>
      <c r="C28" s="514">
        <v>10000000</v>
      </c>
      <c r="D28" s="514"/>
      <c r="E28" s="515"/>
      <c r="F28" s="515">
        <f>[6]Overhead!J69</f>
        <v>10000000</v>
      </c>
      <c r="G28" s="515">
        <f t="shared" si="0"/>
        <v>10000000</v>
      </c>
      <c r="H28" s="516">
        <f t="shared" si="1"/>
        <v>10000000</v>
      </c>
      <c r="I28" s="517"/>
      <c r="J28" s="518"/>
      <c r="K28" s="519"/>
    </row>
    <row r="29" spans="1:11" ht="39.75" customHeight="1" x14ac:dyDescent="0.25">
      <c r="A29" s="512" t="s">
        <v>714</v>
      </c>
      <c r="B29" s="513" t="s">
        <v>715</v>
      </c>
      <c r="C29" s="514">
        <v>40000000</v>
      </c>
      <c r="D29" s="514"/>
      <c r="E29" s="515"/>
      <c r="F29" s="515">
        <f>[6]Overhead!J70</f>
        <v>40000000</v>
      </c>
      <c r="G29" s="515">
        <f t="shared" si="0"/>
        <v>40000000</v>
      </c>
      <c r="H29" s="516">
        <f t="shared" si="1"/>
        <v>40000000</v>
      </c>
      <c r="I29" s="517"/>
      <c r="J29" s="518"/>
      <c r="K29" s="519"/>
    </row>
    <row r="30" spans="1:11" ht="24.75" customHeight="1" x14ac:dyDescent="0.25">
      <c r="A30" s="512" t="s">
        <v>692</v>
      </c>
      <c r="B30" s="513" t="s">
        <v>716</v>
      </c>
      <c r="C30" s="514">
        <v>20000000</v>
      </c>
      <c r="D30" s="514"/>
      <c r="E30" s="515"/>
      <c r="F30" s="515">
        <f>[6]Overhead!J71</f>
        <v>20000000</v>
      </c>
      <c r="G30" s="515">
        <f t="shared" si="0"/>
        <v>20000000</v>
      </c>
      <c r="H30" s="516">
        <f t="shared" si="1"/>
        <v>20000000</v>
      </c>
      <c r="I30" s="517"/>
      <c r="J30" s="518"/>
      <c r="K30" s="519"/>
    </row>
    <row r="31" spans="1:11" ht="30" customHeight="1" x14ac:dyDescent="0.25">
      <c r="A31" s="528"/>
      <c r="B31" s="889" t="s">
        <v>717</v>
      </c>
      <c r="C31" s="530">
        <f>SUM(C3:C17,C19:C30)</f>
        <v>12859658413</v>
      </c>
      <c r="D31" s="530">
        <f>SUM(D3:D17,D19:D30)</f>
        <v>1088344179</v>
      </c>
      <c r="E31" s="530">
        <f>SUM(E3:E30)</f>
        <v>291076900</v>
      </c>
      <c r="F31" s="530">
        <f>SUM(F3:F30)</f>
        <v>11553037334</v>
      </c>
      <c r="G31" s="530">
        <f>SUM(G3:G30)</f>
        <v>11844114234</v>
      </c>
      <c r="H31" s="531">
        <f>D31+G31</f>
        <v>12932458413</v>
      </c>
      <c r="I31" s="517"/>
      <c r="J31" s="518"/>
      <c r="K31" s="519"/>
    </row>
    <row r="32" spans="1:11" ht="30" customHeight="1" x14ac:dyDescent="0.25">
      <c r="A32" s="512" t="s">
        <v>2196</v>
      </c>
      <c r="B32" s="534" t="s">
        <v>718</v>
      </c>
      <c r="C32" s="515">
        <v>749799996</v>
      </c>
      <c r="D32" s="529"/>
      <c r="E32" s="515">
        <f>[6]Overhead!J116</f>
        <v>505200000</v>
      </c>
      <c r="F32" s="515">
        <f>[6]Overhead!J110</f>
        <v>494000000</v>
      </c>
      <c r="G32" s="515">
        <f>E32+F32</f>
        <v>999200000</v>
      </c>
      <c r="H32" s="516">
        <f t="shared" ref="H32:H96" si="2">D32+G32</f>
        <v>999200000</v>
      </c>
      <c r="I32" s="535"/>
      <c r="J32" s="518"/>
      <c r="K32" s="519"/>
    </row>
    <row r="33" spans="1:11" ht="38.25" customHeight="1" x14ac:dyDescent="0.25">
      <c r="A33" s="512" t="s">
        <v>719</v>
      </c>
      <c r="B33" s="534" t="s">
        <v>720</v>
      </c>
      <c r="C33" s="515">
        <v>29000000</v>
      </c>
      <c r="D33" s="529"/>
      <c r="E33" s="515">
        <f>[6]Overhead!J120</f>
        <v>9000000</v>
      </c>
      <c r="F33" s="515">
        <f>[6]Overhead!J119</f>
        <v>20000000</v>
      </c>
      <c r="G33" s="515">
        <f t="shared" ref="G33:G97" si="3">E33+F33</f>
        <v>29000000</v>
      </c>
      <c r="H33" s="516">
        <f t="shared" si="2"/>
        <v>29000000</v>
      </c>
      <c r="I33" s="535"/>
      <c r="J33" s="518"/>
      <c r="K33" s="536"/>
    </row>
    <row r="34" spans="1:11" ht="39.75" customHeight="1" x14ac:dyDescent="0.25">
      <c r="A34" s="512" t="s">
        <v>721</v>
      </c>
      <c r="B34" s="534" t="s">
        <v>722</v>
      </c>
      <c r="C34" s="515">
        <v>14500000</v>
      </c>
      <c r="D34" s="529"/>
      <c r="E34" s="515">
        <f>[6]Overhead!J123</f>
        <v>4500000</v>
      </c>
      <c r="F34" s="515">
        <f>[6]Overhead!J122</f>
        <v>10000000</v>
      </c>
      <c r="G34" s="515">
        <f t="shared" si="3"/>
        <v>14500000</v>
      </c>
      <c r="H34" s="516">
        <f t="shared" si="2"/>
        <v>14500000</v>
      </c>
      <c r="I34" s="535"/>
      <c r="J34" s="518"/>
      <c r="K34" s="519"/>
    </row>
    <row r="35" spans="1:11" ht="30" customHeight="1" x14ac:dyDescent="0.25">
      <c r="A35" s="512" t="s">
        <v>723</v>
      </c>
      <c r="B35" s="534" t="s">
        <v>724</v>
      </c>
      <c r="C35" s="515">
        <v>16000000</v>
      </c>
      <c r="D35" s="529"/>
      <c r="E35" s="515">
        <f>[6]Overhead!J126</f>
        <v>6000000</v>
      </c>
      <c r="F35" s="537">
        <f>[6]Overhead!J125</f>
        <v>10000000</v>
      </c>
      <c r="G35" s="515">
        <f t="shared" si="3"/>
        <v>16000000</v>
      </c>
      <c r="H35" s="516">
        <f t="shared" si="2"/>
        <v>16000000</v>
      </c>
      <c r="I35" s="535"/>
      <c r="J35" s="518"/>
      <c r="K35" s="536"/>
    </row>
    <row r="36" spans="1:11" ht="30" customHeight="1" x14ac:dyDescent="0.25">
      <c r="A36" s="512" t="s">
        <v>725</v>
      </c>
      <c r="B36" s="534" t="s">
        <v>726</v>
      </c>
      <c r="C36" s="515">
        <v>4800000</v>
      </c>
      <c r="D36" s="529"/>
      <c r="E36" s="538">
        <f>[6]Overhead!J128</f>
        <v>4800000</v>
      </c>
      <c r="F36" s="539"/>
      <c r="G36" s="515">
        <f t="shared" si="3"/>
        <v>4800000</v>
      </c>
      <c r="H36" s="516">
        <f t="shared" si="2"/>
        <v>4800000</v>
      </c>
      <c r="I36" s="535"/>
      <c r="J36" s="518"/>
      <c r="K36" s="536"/>
    </row>
    <row r="37" spans="1:11" ht="30" customHeight="1" x14ac:dyDescent="0.25">
      <c r="A37" s="540"/>
      <c r="B37" s="889" t="s">
        <v>717</v>
      </c>
      <c r="C37" s="530">
        <f>SUM(C32:C36)</f>
        <v>814099996</v>
      </c>
      <c r="D37" s="530">
        <f>SUM(D32:D36)</f>
        <v>0</v>
      </c>
      <c r="E37" s="530">
        <f>SUM(E32:E36)</f>
        <v>529500000</v>
      </c>
      <c r="F37" s="530">
        <f>SUM(F32:F36)</f>
        <v>534000000</v>
      </c>
      <c r="G37" s="530">
        <f>SUM(G32:G36)</f>
        <v>1063500000</v>
      </c>
      <c r="H37" s="531">
        <f t="shared" si="2"/>
        <v>1063500000</v>
      </c>
      <c r="I37" s="535"/>
      <c r="J37" s="518"/>
      <c r="K37" s="536"/>
    </row>
    <row r="38" spans="1:11" ht="67.5" customHeight="1" x14ac:dyDescent="0.25">
      <c r="A38" s="541"/>
      <c r="B38" s="542"/>
      <c r="C38" s="543"/>
      <c r="D38" s="524">
        <v>29</v>
      </c>
      <c r="E38" s="525"/>
      <c r="F38" s="525"/>
      <c r="G38" s="525"/>
      <c r="H38" s="526"/>
      <c r="I38" s="535"/>
      <c r="J38" s="518"/>
      <c r="K38" s="536"/>
    </row>
    <row r="39" spans="1:11" ht="24.95" customHeight="1" x14ac:dyDescent="0.25">
      <c r="A39" s="544" t="s">
        <v>727</v>
      </c>
      <c r="B39" s="513" t="s">
        <v>728</v>
      </c>
      <c r="C39" s="514">
        <v>9180000000</v>
      </c>
      <c r="D39" s="514">
        <f>[6]Personnel!J6</f>
        <v>3342000000</v>
      </c>
      <c r="E39" s="515">
        <f>[6]Overhead!J205</f>
        <v>1800000000</v>
      </c>
      <c r="F39" s="515">
        <f>[6]Overhead!J204</f>
        <v>4038000000</v>
      </c>
      <c r="G39" s="515">
        <f t="shared" si="3"/>
        <v>5838000000</v>
      </c>
      <c r="H39" s="516">
        <f>D39+G39</f>
        <v>9180000000</v>
      </c>
      <c r="I39" s="535"/>
      <c r="J39" s="518"/>
      <c r="K39" s="519"/>
    </row>
    <row r="40" spans="1:11" ht="24.95" customHeight="1" x14ac:dyDescent="0.25">
      <c r="A40" s="544" t="s">
        <v>2198</v>
      </c>
      <c r="B40" s="513" t="s">
        <v>729</v>
      </c>
      <c r="C40" s="514">
        <v>7656132161</v>
      </c>
      <c r="D40" s="514">
        <f>[6]Personnel!J8</f>
        <v>6010312161</v>
      </c>
      <c r="E40" s="515">
        <f>[6]Overhead!J217</f>
        <v>24300000</v>
      </c>
      <c r="F40" s="515">
        <f>[6]Overhead!J216</f>
        <v>1621520000</v>
      </c>
      <c r="G40" s="515">
        <f t="shared" si="3"/>
        <v>1645820000</v>
      </c>
      <c r="H40" s="516">
        <f t="shared" si="2"/>
        <v>7656132161</v>
      </c>
      <c r="I40" s="535"/>
      <c r="J40" s="518"/>
      <c r="K40" s="519"/>
    </row>
    <row r="41" spans="1:11" ht="24.95" customHeight="1" x14ac:dyDescent="0.25">
      <c r="A41" s="544" t="s">
        <v>730</v>
      </c>
      <c r="B41" s="513" t="s">
        <v>731</v>
      </c>
      <c r="C41" s="545">
        <v>25200000</v>
      </c>
      <c r="D41" s="529"/>
      <c r="E41" s="515">
        <f>[6]Overhead!J221</f>
        <v>7200000</v>
      </c>
      <c r="F41" s="515">
        <f>[6]Overhead!J220</f>
        <v>18000000</v>
      </c>
      <c r="G41" s="515">
        <f t="shared" si="3"/>
        <v>25200000</v>
      </c>
      <c r="H41" s="516">
        <f t="shared" si="2"/>
        <v>25200000</v>
      </c>
      <c r="I41" s="535"/>
      <c r="J41" s="518"/>
      <c r="K41" s="536"/>
    </row>
    <row r="42" spans="1:11" ht="24.95" customHeight="1" x14ac:dyDescent="0.25">
      <c r="A42" s="544" t="s">
        <v>732</v>
      </c>
      <c r="B42" s="513" t="s">
        <v>733</v>
      </c>
      <c r="C42" s="545">
        <v>43500000</v>
      </c>
      <c r="D42" s="529"/>
      <c r="E42" s="515">
        <f>[6]Overhead!J224</f>
        <v>22500000</v>
      </c>
      <c r="F42" s="515">
        <f>[6]Overhead!J223</f>
        <v>21000000</v>
      </c>
      <c r="G42" s="515">
        <f t="shared" si="3"/>
        <v>43500000</v>
      </c>
      <c r="H42" s="516">
        <f t="shared" si="2"/>
        <v>43500000</v>
      </c>
      <c r="I42" s="535"/>
      <c r="J42" s="518"/>
      <c r="K42" s="519"/>
    </row>
    <row r="43" spans="1:11" ht="24.95" customHeight="1" x14ac:dyDescent="0.25">
      <c r="A43" s="544" t="s">
        <v>734</v>
      </c>
      <c r="B43" s="513" t="s">
        <v>735</v>
      </c>
      <c r="C43" s="545">
        <v>50249940</v>
      </c>
      <c r="D43" s="529"/>
      <c r="E43" s="515">
        <f>[6]Overhead!J226</f>
        <v>50249940</v>
      </c>
      <c r="F43" s="515"/>
      <c r="G43" s="515">
        <f t="shared" si="3"/>
        <v>50249940</v>
      </c>
      <c r="H43" s="516">
        <f t="shared" si="2"/>
        <v>50249940</v>
      </c>
      <c r="I43" s="535"/>
      <c r="J43" s="518"/>
      <c r="K43" s="519"/>
    </row>
    <row r="44" spans="1:11" ht="24.95" customHeight="1" x14ac:dyDescent="0.25">
      <c r="A44" s="544" t="s">
        <v>2199</v>
      </c>
      <c r="B44" s="520" t="s">
        <v>736</v>
      </c>
      <c r="C44" s="545">
        <v>50000000</v>
      </c>
      <c r="D44" s="529"/>
      <c r="E44" s="515">
        <f>[6]Overhead!J227</f>
        <v>50000000</v>
      </c>
      <c r="F44" s="515"/>
      <c r="G44" s="515">
        <f t="shared" si="3"/>
        <v>50000000</v>
      </c>
      <c r="H44" s="516">
        <f t="shared" si="2"/>
        <v>50000000</v>
      </c>
      <c r="I44" s="535"/>
      <c r="J44" s="518"/>
      <c r="K44" s="519"/>
    </row>
    <row r="45" spans="1:11" ht="24.95" customHeight="1" x14ac:dyDescent="0.25">
      <c r="A45" s="544" t="s">
        <v>2200</v>
      </c>
      <c r="B45" s="520" t="s">
        <v>737</v>
      </c>
      <c r="C45" s="545">
        <v>168000000</v>
      </c>
      <c r="D45" s="529"/>
      <c r="E45" s="515">
        <f>[6]Overhead!J229</f>
        <v>18000000</v>
      </c>
      <c r="F45" s="515">
        <f>[6]Overhead!J228</f>
        <v>150000000</v>
      </c>
      <c r="G45" s="515">
        <f t="shared" si="3"/>
        <v>168000000</v>
      </c>
      <c r="H45" s="516">
        <f t="shared" si="2"/>
        <v>168000000</v>
      </c>
      <c r="I45" s="535"/>
      <c r="J45" s="518"/>
      <c r="K45" s="519"/>
    </row>
    <row r="46" spans="1:11" ht="24.95" customHeight="1" x14ac:dyDescent="0.25">
      <c r="A46" s="544" t="s">
        <v>2201</v>
      </c>
      <c r="B46" s="520" t="s">
        <v>738</v>
      </c>
      <c r="C46" s="545">
        <v>18749976</v>
      </c>
      <c r="D46" s="529"/>
      <c r="E46" s="515">
        <f>[6]Overhead!J231</f>
        <v>18749976</v>
      </c>
      <c r="F46" s="539"/>
      <c r="G46" s="515">
        <f t="shared" si="3"/>
        <v>18749976</v>
      </c>
      <c r="H46" s="516">
        <f t="shared" si="2"/>
        <v>18749976</v>
      </c>
      <c r="I46" s="535"/>
      <c r="J46" s="518"/>
      <c r="K46" s="519"/>
    </row>
    <row r="47" spans="1:11" ht="24.95" customHeight="1" x14ac:dyDescent="0.25">
      <c r="A47" s="544" t="s">
        <v>2202</v>
      </c>
      <c r="B47" s="513" t="s">
        <v>739</v>
      </c>
      <c r="C47" s="515">
        <v>3375000</v>
      </c>
      <c r="D47" s="529"/>
      <c r="E47" s="515">
        <f>[6]Overhead!J232</f>
        <v>3375000</v>
      </c>
      <c r="F47" s="539"/>
      <c r="G47" s="515">
        <f t="shared" si="3"/>
        <v>3375000</v>
      </c>
      <c r="H47" s="516">
        <f t="shared" si="2"/>
        <v>3375000</v>
      </c>
      <c r="I47" s="535"/>
      <c r="J47" s="518"/>
      <c r="K47" s="519"/>
    </row>
    <row r="48" spans="1:11" ht="24.95" customHeight="1" x14ac:dyDescent="0.25">
      <c r="A48" s="544" t="s">
        <v>2203</v>
      </c>
      <c r="B48" s="513" t="s">
        <v>740</v>
      </c>
      <c r="C48" s="515">
        <v>11800000</v>
      </c>
      <c r="D48" s="529"/>
      <c r="E48" s="515">
        <f>[6]Overhead!J234</f>
        <v>1800000</v>
      </c>
      <c r="F48" s="515">
        <f>[6]Overhead!J233</f>
        <v>10000000</v>
      </c>
      <c r="G48" s="515">
        <f t="shared" si="3"/>
        <v>11800000</v>
      </c>
      <c r="H48" s="516">
        <f t="shared" si="2"/>
        <v>11800000</v>
      </c>
      <c r="I48" s="535"/>
      <c r="J48" s="518"/>
      <c r="K48" s="519"/>
    </row>
    <row r="49" spans="1:11" ht="24.95" customHeight="1" x14ac:dyDescent="0.25">
      <c r="A49" s="544" t="s">
        <v>2204</v>
      </c>
      <c r="B49" s="513" t="s">
        <v>741</v>
      </c>
      <c r="C49" s="515">
        <v>116550000</v>
      </c>
      <c r="D49" s="529"/>
      <c r="E49" s="515">
        <f>[6]Overhead!J237</f>
        <v>3150000</v>
      </c>
      <c r="F49" s="515">
        <f>[6]Overhead!J236</f>
        <v>113400000</v>
      </c>
      <c r="G49" s="515">
        <f t="shared" si="3"/>
        <v>116550000</v>
      </c>
      <c r="H49" s="516">
        <f t="shared" si="2"/>
        <v>116550000</v>
      </c>
      <c r="I49" s="535"/>
      <c r="J49" s="518"/>
      <c r="K49" s="519"/>
    </row>
    <row r="50" spans="1:11" ht="24.95" customHeight="1" x14ac:dyDescent="0.25">
      <c r="A50" s="544" t="s">
        <v>742</v>
      </c>
      <c r="B50" s="513" t="s">
        <v>743</v>
      </c>
      <c r="C50" s="545">
        <v>150000000</v>
      </c>
      <c r="D50" s="529"/>
      <c r="E50" s="515"/>
      <c r="F50" s="515">
        <f>[6]Overhead!J247</f>
        <v>150000000</v>
      </c>
      <c r="G50" s="515">
        <f t="shared" si="3"/>
        <v>150000000</v>
      </c>
      <c r="H50" s="516">
        <f t="shared" si="2"/>
        <v>150000000</v>
      </c>
      <c r="I50" s="535"/>
      <c r="J50" s="950"/>
      <c r="K50" s="533"/>
    </row>
    <row r="51" spans="1:11" ht="24.95" customHeight="1" x14ac:dyDescent="0.25">
      <c r="A51" s="544" t="s">
        <v>744</v>
      </c>
      <c r="B51" s="513" t="s">
        <v>745</v>
      </c>
      <c r="C51" s="515">
        <v>376233531</v>
      </c>
      <c r="D51" s="515">
        <f>[6]Personnel!J10</f>
        <v>302233531</v>
      </c>
      <c r="E51" s="515"/>
      <c r="F51" s="515">
        <f>[6]Overhead!J269</f>
        <v>74000000</v>
      </c>
      <c r="G51" s="515">
        <f t="shared" si="3"/>
        <v>74000000</v>
      </c>
      <c r="H51" s="516">
        <f t="shared" si="2"/>
        <v>376233531</v>
      </c>
      <c r="I51" s="535"/>
      <c r="J51" s="518"/>
      <c r="K51" s="519"/>
    </row>
    <row r="52" spans="1:11" ht="24.95" customHeight="1" x14ac:dyDescent="0.25">
      <c r="A52" s="544"/>
      <c r="B52" s="889" t="s">
        <v>717</v>
      </c>
      <c r="C52" s="546">
        <f>SUM(C40:C51)</f>
        <v>8669790608</v>
      </c>
      <c r="D52" s="530">
        <f>SUM(D40:D51)</f>
        <v>6312545692</v>
      </c>
      <c r="E52" s="530">
        <f>SUM(E40:E51)</f>
        <v>199324916</v>
      </c>
      <c r="F52" s="530">
        <f>SUM(F40:F51)</f>
        <v>2157920000</v>
      </c>
      <c r="G52" s="530">
        <f>SUM(G40:G51)</f>
        <v>2357244916</v>
      </c>
      <c r="H52" s="531">
        <f>D52+G52</f>
        <v>8669790608</v>
      </c>
      <c r="I52" s="535"/>
      <c r="J52" s="518"/>
      <c r="K52" s="519"/>
    </row>
    <row r="53" spans="1:11" ht="24.95" customHeight="1" x14ac:dyDescent="0.25">
      <c r="A53" s="544" t="s">
        <v>2205</v>
      </c>
      <c r="B53" s="513" t="s">
        <v>746</v>
      </c>
      <c r="C53" s="515">
        <v>795789440.12</v>
      </c>
      <c r="D53" s="515">
        <f>[6]Personnel!J12</f>
        <v>274164029</v>
      </c>
      <c r="E53" s="537">
        <f>[6]Overhead!J306</f>
        <v>20520000</v>
      </c>
      <c r="F53" s="515">
        <f>[6]Overhead!J288</f>
        <v>572664196</v>
      </c>
      <c r="G53" s="515">
        <f t="shared" si="3"/>
        <v>593184196</v>
      </c>
      <c r="H53" s="516">
        <f t="shared" si="2"/>
        <v>867348225</v>
      </c>
      <c r="I53" s="535"/>
      <c r="J53" s="518"/>
      <c r="K53" s="519"/>
    </row>
    <row r="54" spans="1:11" ht="24.95" customHeight="1" x14ac:dyDescent="0.25">
      <c r="A54" s="544" t="s">
        <v>2206</v>
      </c>
      <c r="B54" s="513" t="s">
        <v>747</v>
      </c>
      <c r="C54" s="515">
        <v>232199747</v>
      </c>
      <c r="D54" s="515">
        <f>[6]Personnel!J14</f>
        <v>148499747</v>
      </c>
      <c r="E54" s="515">
        <f>[6]Overhead!J317</f>
        <v>62200000</v>
      </c>
      <c r="F54" s="515">
        <f>[6]Overhead!J313</f>
        <v>21500000</v>
      </c>
      <c r="G54" s="515">
        <f t="shared" si="3"/>
        <v>83700000</v>
      </c>
      <c r="H54" s="516">
        <f t="shared" si="2"/>
        <v>232199747</v>
      </c>
      <c r="I54" s="535"/>
      <c r="J54" s="518"/>
      <c r="K54" s="519"/>
    </row>
    <row r="55" spans="1:11" ht="36.75" customHeight="1" x14ac:dyDescent="0.25">
      <c r="A55" s="544" t="s">
        <v>2207</v>
      </c>
      <c r="B55" s="513" t="s">
        <v>748</v>
      </c>
      <c r="C55" s="515">
        <v>106731995</v>
      </c>
      <c r="D55" s="515">
        <f>[6]Personnel!J16</f>
        <v>71031995</v>
      </c>
      <c r="E55" s="515">
        <f>[6]Overhead!J333</f>
        <v>3600000</v>
      </c>
      <c r="F55" s="515">
        <f>[6]Overhead!J332</f>
        <v>31980000</v>
      </c>
      <c r="G55" s="515">
        <f t="shared" si="3"/>
        <v>35580000</v>
      </c>
      <c r="H55" s="516">
        <f t="shared" si="2"/>
        <v>106611995</v>
      </c>
      <c r="I55" s="535"/>
      <c r="J55" s="518"/>
      <c r="K55" s="519"/>
    </row>
    <row r="56" spans="1:11" ht="24.95" customHeight="1" x14ac:dyDescent="0.25">
      <c r="A56" s="544" t="s">
        <v>2208</v>
      </c>
      <c r="B56" s="513" t="s">
        <v>749</v>
      </c>
      <c r="C56" s="515">
        <v>370054543</v>
      </c>
      <c r="D56" s="515">
        <f>[6]Personnel!J18</f>
        <v>160911378</v>
      </c>
      <c r="E56" s="515">
        <f>[6]Overhead!J349</f>
        <v>4800000</v>
      </c>
      <c r="F56" s="515">
        <f>[6]Overhead!J348</f>
        <v>236850000</v>
      </c>
      <c r="G56" s="515">
        <f t="shared" si="3"/>
        <v>241650000</v>
      </c>
      <c r="H56" s="516">
        <f t="shared" si="2"/>
        <v>402561378</v>
      </c>
      <c r="I56" s="535"/>
      <c r="J56" s="518"/>
      <c r="K56" s="519"/>
    </row>
    <row r="57" spans="1:11" ht="24.95" customHeight="1" x14ac:dyDescent="0.25">
      <c r="A57" s="544" t="s">
        <v>2209</v>
      </c>
      <c r="B57" s="513" t="s">
        <v>750</v>
      </c>
      <c r="C57" s="515">
        <v>998556334</v>
      </c>
      <c r="D57" s="515">
        <f>[6]Personnel!J20</f>
        <v>492956334</v>
      </c>
      <c r="E57" s="515">
        <f>[6]Overhead!J361</f>
        <v>13800000</v>
      </c>
      <c r="F57" s="515">
        <f>[6]Overhead!J360</f>
        <v>491800000</v>
      </c>
      <c r="G57" s="515">
        <f t="shared" si="3"/>
        <v>505600000</v>
      </c>
      <c r="H57" s="516">
        <f t="shared" si="2"/>
        <v>998556334</v>
      </c>
      <c r="I57" s="535"/>
      <c r="J57" s="518"/>
      <c r="K57" s="519"/>
    </row>
    <row r="58" spans="1:11" ht="24.95" customHeight="1" x14ac:dyDescent="0.25">
      <c r="A58" s="544" t="s">
        <v>751</v>
      </c>
      <c r="B58" s="513" t="s">
        <v>752</v>
      </c>
      <c r="C58" s="545">
        <v>3000000</v>
      </c>
      <c r="D58" s="515">
        <f>[6]Personnel!J22</f>
        <v>488946225</v>
      </c>
      <c r="E58" s="515">
        <f>[6]Overhead!J364</f>
        <v>3000000</v>
      </c>
      <c r="F58" s="539"/>
      <c r="G58" s="515">
        <f t="shared" si="3"/>
        <v>3000000</v>
      </c>
      <c r="H58" s="516">
        <f t="shared" si="2"/>
        <v>491946225</v>
      </c>
      <c r="I58" s="535"/>
      <c r="J58" s="518"/>
      <c r="K58" s="519"/>
    </row>
    <row r="59" spans="1:11" ht="24.95" customHeight="1" x14ac:dyDescent="0.25">
      <c r="A59" s="544" t="s">
        <v>753</v>
      </c>
      <c r="B59" s="513" t="s">
        <v>754</v>
      </c>
      <c r="C59" s="547">
        <v>3000000</v>
      </c>
      <c r="D59" s="528"/>
      <c r="E59" s="515">
        <f>[6]Overhead!J366</f>
        <v>3000000</v>
      </c>
      <c r="F59" s="528"/>
      <c r="G59" s="515">
        <f t="shared" si="3"/>
        <v>3000000</v>
      </c>
      <c r="H59" s="516">
        <f t="shared" si="2"/>
        <v>3000000</v>
      </c>
      <c r="K59" s="574"/>
    </row>
    <row r="60" spans="1:11" ht="24.95" customHeight="1" x14ac:dyDescent="0.25">
      <c r="A60" s="544" t="s">
        <v>755</v>
      </c>
      <c r="B60" s="548" t="s">
        <v>756</v>
      </c>
      <c r="C60" s="547">
        <v>6000000</v>
      </c>
      <c r="D60" s="516">
        <f>[6]Personnel!J24</f>
        <v>198194926</v>
      </c>
      <c r="E60" s="515">
        <f>[6]Overhead!J368</f>
        <v>6000000</v>
      </c>
      <c r="F60" s="528"/>
      <c r="G60" s="515">
        <f t="shared" si="3"/>
        <v>6000000</v>
      </c>
      <c r="H60" s="516">
        <f t="shared" si="2"/>
        <v>204194926</v>
      </c>
      <c r="K60" s="519"/>
    </row>
    <row r="61" spans="1:11" ht="24.95" customHeight="1" x14ac:dyDescent="0.25">
      <c r="A61" s="549"/>
      <c r="B61" s="889" t="s">
        <v>717</v>
      </c>
      <c r="C61" s="530">
        <f>SUM(C57:C60)</f>
        <v>1010556334</v>
      </c>
      <c r="D61" s="530">
        <f>SUM(D57:D60)</f>
        <v>1180097485</v>
      </c>
      <c r="E61" s="546">
        <f>SUM(E57:E60)</f>
        <v>25800000</v>
      </c>
      <c r="F61" s="546">
        <f>SUM(F57:F60)</f>
        <v>491800000</v>
      </c>
      <c r="G61" s="530">
        <f>SUM(G57:G60)</f>
        <v>517600000</v>
      </c>
      <c r="H61" s="531">
        <f t="shared" si="2"/>
        <v>1697697485</v>
      </c>
      <c r="K61" s="574"/>
    </row>
    <row r="62" spans="1:11" ht="64.5" customHeight="1" x14ac:dyDescent="0.25">
      <c r="A62" s="550"/>
      <c r="B62" s="542"/>
      <c r="C62" s="551"/>
      <c r="D62" s="524">
        <v>30</v>
      </c>
      <c r="E62" s="552"/>
      <c r="F62" s="552"/>
      <c r="G62" s="525"/>
      <c r="H62" s="526"/>
      <c r="K62" s="574"/>
    </row>
    <row r="63" spans="1:11" ht="30" customHeight="1" x14ac:dyDescent="0.25">
      <c r="A63" s="544" t="s">
        <v>2210</v>
      </c>
      <c r="B63" s="513" t="s">
        <v>757</v>
      </c>
      <c r="C63" s="515">
        <v>373387383.36000001</v>
      </c>
      <c r="D63" s="515">
        <f>[6]Personnel!J27</f>
        <v>284810696</v>
      </c>
      <c r="E63" s="537">
        <f>[6]Overhead!J378</f>
        <v>12000000</v>
      </c>
      <c r="F63" s="537">
        <f>[6]Overhead!J377</f>
        <v>104000000</v>
      </c>
      <c r="G63" s="515">
        <f t="shared" si="3"/>
        <v>116000000</v>
      </c>
      <c r="H63" s="516">
        <f t="shared" si="2"/>
        <v>400810696</v>
      </c>
      <c r="I63" s="951"/>
      <c r="J63" s="555"/>
      <c r="K63" s="519"/>
    </row>
    <row r="64" spans="1:11" ht="30" customHeight="1" x14ac:dyDescent="0.25">
      <c r="A64" s="544" t="s">
        <v>758</v>
      </c>
      <c r="B64" s="513" t="s">
        <v>759</v>
      </c>
      <c r="C64" s="515">
        <v>202700000</v>
      </c>
      <c r="D64" s="553"/>
      <c r="E64" s="537">
        <f>[6]Overhead!J382</f>
        <v>2700000</v>
      </c>
      <c r="F64" s="537">
        <f>[6]Overhead!J383</f>
        <v>200000000</v>
      </c>
      <c r="G64" s="515">
        <f t="shared" si="3"/>
        <v>202700000</v>
      </c>
      <c r="H64" s="516">
        <f t="shared" si="2"/>
        <v>202700000</v>
      </c>
      <c r="I64" s="554"/>
      <c r="J64" s="555"/>
      <c r="K64" s="569"/>
    </row>
    <row r="65" spans="1:12" ht="30" customHeight="1" x14ac:dyDescent="0.25">
      <c r="A65" s="544" t="s">
        <v>760</v>
      </c>
      <c r="B65" s="513" t="s">
        <v>761</v>
      </c>
      <c r="C65" s="515">
        <v>35200000</v>
      </c>
      <c r="D65" s="540"/>
      <c r="E65" s="537">
        <f>[6]Overhead!J386</f>
        <v>25200000</v>
      </c>
      <c r="F65" s="537">
        <f>[6]Overhead!J387</f>
        <v>10000000</v>
      </c>
      <c r="G65" s="515">
        <f t="shared" si="3"/>
        <v>35200000</v>
      </c>
      <c r="H65" s="516">
        <f t="shared" si="2"/>
        <v>35200000</v>
      </c>
      <c r="I65" s="509"/>
      <c r="J65" s="510"/>
      <c r="K65" s="507"/>
    </row>
    <row r="66" spans="1:12" ht="30" customHeight="1" x14ac:dyDescent="0.25">
      <c r="A66" s="544" t="s">
        <v>762</v>
      </c>
      <c r="B66" s="513" t="s">
        <v>763</v>
      </c>
      <c r="C66" s="515">
        <v>1350000</v>
      </c>
      <c r="D66" s="529"/>
      <c r="E66" s="537">
        <f>[6]Overhead!J390</f>
        <v>1350000</v>
      </c>
      <c r="F66" s="537"/>
      <c r="G66" s="515">
        <f t="shared" si="3"/>
        <v>1350000</v>
      </c>
      <c r="H66" s="516">
        <f t="shared" si="2"/>
        <v>1350000</v>
      </c>
      <c r="I66" s="952"/>
      <c r="J66" s="518"/>
      <c r="K66" s="519"/>
    </row>
    <row r="67" spans="1:12" ht="27.75" customHeight="1" x14ac:dyDescent="0.25">
      <c r="A67" s="544" t="s">
        <v>764</v>
      </c>
      <c r="B67" s="513" t="s">
        <v>765</v>
      </c>
      <c r="C67" s="515">
        <v>1350000</v>
      </c>
      <c r="D67" s="529"/>
      <c r="E67" s="537">
        <f>[6]Overhead!J392</f>
        <v>1350000</v>
      </c>
      <c r="F67" s="539"/>
      <c r="G67" s="515">
        <f t="shared" si="3"/>
        <v>1350000</v>
      </c>
      <c r="H67" s="516">
        <f t="shared" si="2"/>
        <v>1350000</v>
      </c>
      <c r="I67" s="952"/>
      <c r="J67" s="518"/>
      <c r="K67" s="536"/>
    </row>
    <row r="68" spans="1:12" ht="27.75" customHeight="1" x14ac:dyDescent="0.25">
      <c r="A68" s="549"/>
      <c r="B68" s="889" t="s">
        <v>717</v>
      </c>
      <c r="C68" s="530">
        <f>SUM(C63:C67)</f>
        <v>613987383.36000001</v>
      </c>
      <c r="D68" s="530">
        <f>SUM(D63:D67)</f>
        <v>284810696</v>
      </c>
      <c r="E68" s="530">
        <f>SUM(E63:E67)</f>
        <v>42600000</v>
      </c>
      <c r="F68" s="530">
        <f>SUM(F63:F67)</f>
        <v>314000000</v>
      </c>
      <c r="G68" s="530">
        <f>SUM(G63:G67)</f>
        <v>356600000</v>
      </c>
      <c r="H68" s="531">
        <f t="shared" si="2"/>
        <v>641410696</v>
      </c>
      <c r="I68" s="952"/>
      <c r="J68" s="518"/>
      <c r="K68" s="519"/>
    </row>
    <row r="69" spans="1:12" ht="30" customHeight="1" x14ac:dyDescent="0.25">
      <c r="A69" s="544" t="s">
        <v>2211</v>
      </c>
      <c r="B69" s="513" t="s">
        <v>766</v>
      </c>
      <c r="C69" s="515">
        <v>39000000</v>
      </c>
      <c r="D69" s="529"/>
      <c r="E69" s="515">
        <f>[6]Overhead!I397</f>
        <v>12000000</v>
      </c>
      <c r="F69" s="515">
        <f>[6]Overhead!J395</f>
        <v>27000000</v>
      </c>
      <c r="G69" s="515">
        <f t="shared" si="3"/>
        <v>39000000</v>
      </c>
      <c r="H69" s="516">
        <f t="shared" si="2"/>
        <v>39000000</v>
      </c>
      <c r="I69" s="952"/>
      <c r="J69" s="518"/>
      <c r="K69" s="536"/>
    </row>
    <row r="70" spans="1:12" ht="39.75" customHeight="1" x14ac:dyDescent="0.25">
      <c r="A70" s="544" t="s">
        <v>2212</v>
      </c>
      <c r="B70" s="513" t="s">
        <v>767</v>
      </c>
      <c r="C70" s="515">
        <v>365384954.58000004</v>
      </c>
      <c r="D70" s="515">
        <f>[6]Personnel!J29</f>
        <v>200062770</v>
      </c>
      <c r="E70" s="528"/>
      <c r="F70" s="515">
        <f>[6]Overhead!J446</f>
        <v>194000000</v>
      </c>
      <c r="G70" s="515">
        <f t="shared" si="3"/>
        <v>194000000</v>
      </c>
      <c r="H70" s="516">
        <f t="shared" si="2"/>
        <v>394062770</v>
      </c>
      <c r="I70" s="953"/>
      <c r="J70" s="954"/>
      <c r="K70" s="519"/>
    </row>
    <row r="71" spans="1:12" ht="30" customHeight="1" x14ac:dyDescent="0.25">
      <c r="A71" s="544" t="s">
        <v>768</v>
      </c>
      <c r="B71" s="513" t="s">
        <v>769</v>
      </c>
      <c r="C71" s="515">
        <v>182243202.01999998</v>
      </c>
      <c r="D71" s="515">
        <f>[6]Personnel!J31</f>
        <v>148538377</v>
      </c>
      <c r="E71" s="515">
        <f>[6]Overhead!J458</f>
        <v>9000000</v>
      </c>
      <c r="F71" s="515">
        <f>[6]Overhead!J457</f>
        <v>62500000</v>
      </c>
      <c r="G71" s="515">
        <f t="shared" si="3"/>
        <v>71500000</v>
      </c>
      <c r="H71" s="516">
        <f t="shared" si="2"/>
        <v>220038377</v>
      </c>
      <c r="K71" s="519"/>
    </row>
    <row r="72" spans="1:12" ht="39.75" customHeight="1" x14ac:dyDescent="0.25">
      <c r="A72" s="544" t="s">
        <v>770</v>
      </c>
      <c r="B72" s="513" t="s">
        <v>771</v>
      </c>
      <c r="C72" s="515">
        <v>275904636.30000001</v>
      </c>
      <c r="D72" s="515">
        <f>[6]Personnel!J33</f>
        <v>209174901</v>
      </c>
      <c r="E72" s="515">
        <f>[6]Overhead!J475</f>
        <v>16500000</v>
      </c>
      <c r="F72" s="515">
        <f>[6]Overhead!J472</f>
        <v>84900000</v>
      </c>
      <c r="G72" s="515">
        <f t="shared" si="3"/>
        <v>101400000</v>
      </c>
      <c r="H72" s="516">
        <f t="shared" si="2"/>
        <v>310574901</v>
      </c>
      <c r="K72" s="519"/>
    </row>
    <row r="73" spans="1:12" ht="27.75" customHeight="1" x14ac:dyDescent="0.25">
      <c r="A73" s="544" t="s">
        <v>2205</v>
      </c>
      <c r="B73" s="513" t="s">
        <v>772</v>
      </c>
      <c r="C73" s="515">
        <v>72002369</v>
      </c>
      <c r="D73" s="515">
        <f>[6]Personnel!J35</f>
        <v>43102369</v>
      </c>
      <c r="E73" s="515">
        <f>[6]Overhead!J480</f>
        <v>6900000</v>
      </c>
      <c r="F73" s="515">
        <f>[6]Overhead!J479</f>
        <v>22000000</v>
      </c>
      <c r="G73" s="515">
        <f t="shared" si="3"/>
        <v>28900000</v>
      </c>
      <c r="H73" s="516">
        <f t="shared" si="2"/>
        <v>72002369</v>
      </c>
      <c r="K73" s="519"/>
    </row>
    <row r="74" spans="1:12" ht="29.25" customHeight="1" x14ac:dyDescent="0.25">
      <c r="A74" s="544" t="s">
        <v>2213</v>
      </c>
      <c r="B74" s="513" t="s">
        <v>773</v>
      </c>
      <c r="C74" s="515">
        <v>164595877.88</v>
      </c>
      <c r="D74" s="515">
        <f>[6]Personnel!J37</f>
        <v>72579608</v>
      </c>
      <c r="E74" s="515">
        <f>[6]Overhead!J493</f>
        <v>11880000</v>
      </c>
      <c r="F74" s="515">
        <f>[6]Overhead!J492</f>
        <v>96000000</v>
      </c>
      <c r="G74" s="515">
        <f t="shared" si="3"/>
        <v>107880000</v>
      </c>
      <c r="H74" s="516">
        <f t="shared" si="2"/>
        <v>180459608</v>
      </c>
      <c r="I74" s="554"/>
      <c r="J74" s="555"/>
      <c r="K74" s="519"/>
    </row>
    <row r="75" spans="1:12" ht="36.75" customHeight="1" x14ac:dyDescent="0.25">
      <c r="A75" s="556" t="s">
        <v>2214</v>
      </c>
      <c r="B75" s="513" t="s">
        <v>774</v>
      </c>
      <c r="C75" s="515">
        <v>185635415.81999999</v>
      </c>
      <c r="D75" s="515">
        <f>[6]Personnel!J39</f>
        <v>102532086</v>
      </c>
      <c r="E75" s="515">
        <f>[6]Overhead!J504</f>
        <v>21900000</v>
      </c>
      <c r="F75" s="547">
        <f>[6]Overhead!J503</f>
        <v>74500000</v>
      </c>
      <c r="G75" s="515">
        <f t="shared" si="3"/>
        <v>96400000</v>
      </c>
      <c r="H75" s="516">
        <f t="shared" si="2"/>
        <v>198932086</v>
      </c>
      <c r="I75" s="554"/>
      <c r="J75" s="555"/>
      <c r="K75" s="519"/>
    </row>
    <row r="76" spans="1:12" ht="30" customHeight="1" x14ac:dyDescent="0.25">
      <c r="A76" s="544" t="s">
        <v>2215</v>
      </c>
      <c r="B76" s="513" t="s">
        <v>775</v>
      </c>
      <c r="C76" s="515">
        <v>8680284</v>
      </c>
      <c r="D76" s="515">
        <f>[6]Personnel!J41</f>
        <v>2680284</v>
      </c>
      <c r="E76" s="547">
        <f>[6]Overhead!J508</f>
        <v>6000000</v>
      </c>
      <c r="F76" s="889"/>
      <c r="G76" s="515">
        <f t="shared" si="3"/>
        <v>6000000</v>
      </c>
      <c r="H76" s="516">
        <f t="shared" si="2"/>
        <v>8680284</v>
      </c>
      <c r="I76" s="509"/>
      <c r="J76" s="510"/>
      <c r="K76" s="519"/>
    </row>
    <row r="77" spans="1:12" ht="42" customHeight="1" x14ac:dyDescent="0.25">
      <c r="A77" s="544" t="s">
        <v>2188</v>
      </c>
      <c r="B77" s="513" t="s">
        <v>691</v>
      </c>
      <c r="C77" s="515">
        <v>66000000</v>
      </c>
      <c r="D77" s="529"/>
      <c r="E77" s="547"/>
      <c r="F77" s="557">
        <f>[6]Overhead!J510</f>
        <v>36000000</v>
      </c>
      <c r="G77" s="515">
        <f t="shared" si="3"/>
        <v>36000000</v>
      </c>
      <c r="H77" s="516">
        <f t="shared" si="2"/>
        <v>36000000</v>
      </c>
      <c r="I77" s="535"/>
      <c r="J77" s="518"/>
      <c r="K77" s="558"/>
    </row>
    <row r="78" spans="1:12" ht="41.25" customHeight="1" x14ac:dyDescent="0.25">
      <c r="A78" s="969" t="s">
        <v>776</v>
      </c>
      <c r="B78" s="969"/>
      <c r="C78" s="530">
        <f>SUM(C31,C37,C39,C52,C53:C56,C61,C68,C69:C77)</f>
        <v>36012315199.079994</v>
      </c>
      <c r="D78" s="530">
        <f>SUM(D31,D37,D39,D52,D53:D56,D61,D68,D69:D77)</f>
        <v>13641075596</v>
      </c>
      <c r="E78" s="530">
        <f>SUM(E31,E37,E39,E52,E53:E56,E61,E68,E69:E77)</f>
        <v>3063601816</v>
      </c>
      <c r="F78" s="530">
        <f>SUM(F31,F37,F39,F52,F53:F56,F61,F68,F69:F77)</f>
        <v>20548651530</v>
      </c>
      <c r="G78" s="530">
        <f>SUM(G31,G37,G39,G52,G53:G56,G61,G68,G69:G77)</f>
        <v>23612253346</v>
      </c>
      <c r="H78" s="531">
        <f t="shared" si="2"/>
        <v>37253328942</v>
      </c>
      <c r="I78" s="559"/>
      <c r="J78" s="518"/>
      <c r="K78" s="558"/>
    </row>
    <row r="79" spans="1:12" ht="81.75" customHeight="1" x14ac:dyDescent="0.25">
      <c r="A79" s="542"/>
      <c r="B79" s="542"/>
      <c r="C79" s="542"/>
      <c r="D79" s="524">
        <v>31</v>
      </c>
      <c r="E79" s="525"/>
      <c r="F79" s="525"/>
      <c r="G79" s="525"/>
      <c r="H79" s="526"/>
      <c r="I79" s="559"/>
      <c r="J79" s="518"/>
      <c r="K79" s="558"/>
    </row>
    <row r="80" spans="1:12" s="563" customFormat="1" ht="30" customHeight="1" x14ac:dyDescent="0.25">
      <c r="A80" s="560"/>
      <c r="B80" s="560" t="s">
        <v>777</v>
      </c>
      <c r="C80" s="560"/>
      <c r="D80" s="560"/>
      <c r="E80" s="560"/>
      <c r="F80" s="560"/>
      <c r="G80" s="515"/>
      <c r="H80" s="561"/>
      <c r="I80" s="955"/>
      <c r="J80" s="518"/>
      <c r="K80" s="558"/>
      <c r="L80" s="562"/>
    </row>
    <row r="81" spans="1:11" ht="37.5" customHeight="1" x14ac:dyDescent="0.25">
      <c r="A81" s="556" t="s">
        <v>2216</v>
      </c>
      <c r="B81" s="513" t="s">
        <v>778</v>
      </c>
      <c r="C81" s="515">
        <v>827245061.70000005</v>
      </c>
      <c r="D81" s="515">
        <f>[6]Personnel!J45</f>
        <v>380977948</v>
      </c>
      <c r="E81" s="515">
        <f>[6]Overhead!J521</f>
        <v>39700000</v>
      </c>
      <c r="F81" s="545">
        <f>[6]Overhead!J518</f>
        <v>515687500</v>
      </c>
      <c r="G81" s="515">
        <f t="shared" si="3"/>
        <v>555387500</v>
      </c>
      <c r="H81" s="516">
        <f t="shared" si="2"/>
        <v>936365448</v>
      </c>
      <c r="I81" s="559"/>
      <c r="J81" s="518"/>
      <c r="K81" s="519"/>
    </row>
    <row r="82" spans="1:11" ht="24.95" customHeight="1" x14ac:dyDescent="0.25">
      <c r="A82" s="544" t="s">
        <v>779</v>
      </c>
      <c r="B82" s="513" t="s">
        <v>780</v>
      </c>
      <c r="C82" s="515">
        <v>20900000</v>
      </c>
      <c r="D82" s="529"/>
      <c r="E82" s="545">
        <f>[6]Overhead!J525</f>
        <v>900000</v>
      </c>
      <c r="F82" s="557">
        <f>[6]Overhead!J524</f>
        <v>20000000</v>
      </c>
      <c r="G82" s="515">
        <f t="shared" si="3"/>
        <v>20900000</v>
      </c>
      <c r="H82" s="516">
        <f t="shared" si="2"/>
        <v>20900000</v>
      </c>
      <c r="I82" s="559"/>
      <c r="J82" s="518"/>
      <c r="K82" s="558"/>
    </row>
    <row r="83" spans="1:11" ht="24.95" customHeight="1" x14ac:dyDescent="0.25">
      <c r="A83" s="544" t="s">
        <v>781</v>
      </c>
      <c r="B83" s="513" t="s">
        <v>782</v>
      </c>
      <c r="C83" s="515">
        <v>4700000</v>
      </c>
      <c r="D83" s="529"/>
      <c r="E83" s="515">
        <f>[6]Overhead!J529</f>
        <v>2700000</v>
      </c>
      <c r="F83" s="557">
        <f>[6]Overhead!J528</f>
        <v>2000000</v>
      </c>
      <c r="G83" s="515">
        <f t="shared" si="3"/>
        <v>4700000</v>
      </c>
      <c r="H83" s="516">
        <f t="shared" si="2"/>
        <v>4700000</v>
      </c>
      <c r="I83" s="564"/>
      <c r="J83" s="518"/>
      <c r="K83" s="558"/>
    </row>
    <row r="84" spans="1:11" ht="24.95" customHeight="1" x14ac:dyDescent="0.25">
      <c r="A84" s="528"/>
      <c r="B84" s="889" t="s">
        <v>717</v>
      </c>
      <c r="C84" s="546">
        <f>SUM(C81:C83)</f>
        <v>852845061.70000005</v>
      </c>
      <c r="D84" s="546">
        <f>SUM(D81:D83)</f>
        <v>380977948</v>
      </c>
      <c r="E84" s="546">
        <f>SUM(E81:E83)</f>
        <v>43300000</v>
      </c>
      <c r="F84" s="546">
        <f>SUM(F81:F83)</f>
        <v>537687500</v>
      </c>
      <c r="G84" s="546">
        <f>SUM(G81:G83)</f>
        <v>580987500</v>
      </c>
      <c r="H84" s="516">
        <f t="shared" si="2"/>
        <v>961965448</v>
      </c>
      <c r="I84" s="535"/>
      <c r="J84" s="518"/>
      <c r="K84" s="536"/>
    </row>
    <row r="85" spans="1:11" ht="24.95" customHeight="1" x14ac:dyDescent="0.25">
      <c r="A85" s="544" t="s">
        <v>2217</v>
      </c>
      <c r="B85" s="513" t="s">
        <v>783</v>
      </c>
      <c r="C85" s="515">
        <v>315726565.82000005</v>
      </c>
      <c r="D85" s="515">
        <f>[6]Personnel!J47</f>
        <v>264926565.82000002</v>
      </c>
      <c r="E85" s="545">
        <f>[6]Overhead!J539</f>
        <v>13800000</v>
      </c>
      <c r="F85" s="545">
        <f>[6]Overhead!J538</f>
        <v>37000000</v>
      </c>
      <c r="G85" s="515">
        <f t="shared" si="3"/>
        <v>50800000</v>
      </c>
      <c r="H85" s="516">
        <f t="shared" si="2"/>
        <v>315726565.82000005</v>
      </c>
      <c r="I85" s="559"/>
      <c r="J85" s="518"/>
      <c r="K85" s="519"/>
    </row>
    <row r="86" spans="1:11" ht="24.95" customHeight="1" x14ac:dyDescent="0.25">
      <c r="A86" s="544" t="s">
        <v>784</v>
      </c>
      <c r="B86" s="513" t="s">
        <v>785</v>
      </c>
      <c r="C86" s="545"/>
      <c r="D86" s="515">
        <f>[6]Personnel!J50</f>
        <v>74196167</v>
      </c>
      <c r="E86" s="565"/>
      <c r="F86" s="545">
        <f>[6]Overhead!J554</f>
        <v>27975000</v>
      </c>
      <c r="G86" s="515">
        <f t="shared" si="3"/>
        <v>27975000</v>
      </c>
      <c r="H86" s="516">
        <f t="shared" si="2"/>
        <v>102171167</v>
      </c>
      <c r="I86" s="956"/>
      <c r="J86" s="957"/>
      <c r="K86" s="519"/>
    </row>
    <row r="87" spans="1:11" ht="24.95" customHeight="1" x14ac:dyDescent="0.25">
      <c r="A87" s="544" t="s">
        <v>786</v>
      </c>
      <c r="B87" s="513" t="s">
        <v>787</v>
      </c>
      <c r="C87" s="515"/>
      <c r="D87" s="515">
        <f>[6]Personnel!J52</f>
        <v>141267979</v>
      </c>
      <c r="E87" s="545">
        <f>[6]Overhead!J542</f>
        <v>6000000</v>
      </c>
      <c r="F87" s="545"/>
      <c r="G87" s="515">
        <f t="shared" si="3"/>
        <v>6000000</v>
      </c>
      <c r="H87" s="516">
        <f t="shared" si="2"/>
        <v>147267979</v>
      </c>
      <c r="I87" s="953"/>
      <c r="J87" s="954"/>
      <c r="K87" s="519"/>
    </row>
    <row r="88" spans="1:11" ht="24.95" customHeight="1" x14ac:dyDescent="0.25">
      <c r="A88" s="544"/>
      <c r="B88" s="889" t="s">
        <v>717</v>
      </c>
      <c r="C88" s="530">
        <f t="shared" ref="C88:H88" si="4">SUM(C85:C87)</f>
        <v>315726565.82000005</v>
      </c>
      <c r="D88" s="530">
        <f t="shared" si="4"/>
        <v>480390711.82000005</v>
      </c>
      <c r="E88" s="530">
        <f t="shared" si="4"/>
        <v>19800000</v>
      </c>
      <c r="F88" s="530">
        <f t="shared" si="4"/>
        <v>64975000</v>
      </c>
      <c r="G88" s="530">
        <f t="shared" si="4"/>
        <v>84775000</v>
      </c>
      <c r="H88" s="530">
        <f t="shared" si="4"/>
        <v>565165711.82000005</v>
      </c>
      <c r="I88" s="953"/>
      <c r="J88" s="954"/>
      <c r="K88" s="519"/>
    </row>
    <row r="89" spans="1:11" ht="24.95" customHeight="1" x14ac:dyDescent="0.25">
      <c r="A89" s="544" t="s">
        <v>2218</v>
      </c>
      <c r="B89" s="513" t="s">
        <v>788</v>
      </c>
      <c r="C89" s="566">
        <v>1316789369</v>
      </c>
      <c r="D89" s="515">
        <f>[6]Personnel!J54</f>
        <v>1293989369</v>
      </c>
      <c r="E89" s="545">
        <f>[6]Overhead!J567</f>
        <v>13800000</v>
      </c>
      <c r="F89" s="545">
        <f>[6]Overhead!J566</f>
        <v>9000000</v>
      </c>
      <c r="G89" s="515">
        <f t="shared" si="3"/>
        <v>22800000</v>
      </c>
      <c r="H89" s="516">
        <f t="shared" si="2"/>
        <v>1316789369</v>
      </c>
      <c r="K89" s="519"/>
    </row>
    <row r="90" spans="1:11" ht="43.5" customHeight="1" x14ac:dyDescent="0.25">
      <c r="A90" s="544" t="s">
        <v>789</v>
      </c>
      <c r="B90" s="513" t="s">
        <v>790</v>
      </c>
      <c r="C90" s="545">
        <v>3600000</v>
      </c>
      <c r="D90" s="515">
        <f>[6]Personnel!J56</f>
        <v>162295355</v>
      </c>
      <c r="E90" s="545">
        <f>[6]Overhead!J570</f>
        <v>3600000</v>
      </c>
      <c r="F90" s="545"/>
      <c r="G90" s="515">
        <f t="shared" si="3"/>
        <v>3600000</v>
      </c>
      <c r="H90" s="516">
        <f t="shared" si="2"/>
        <v>165895355</v>
      </c>
      <c r="K90" s="519"/>
    </row>
    <row r="91" spans="1:11" ht="24.95" customHeight="1" x14ac:dyDescent="0.25">
      <c r="A91" s="544" t="s">
        <v>791</v>
      </c>
      <c r="B91" s="513" t="s">
        <v>792</v>
      </c>
      <c r="C91" s="545">
        <v>4800000</v>
      </c>
      <c r="D91" s="515">
        <f>[6]Personnel!J58</f>
        <v>6344819</v>
      </c>
      <c r="E91" s="545">
        <f>[6]Overhead!J576</f>
        <v>4800000</v>
      </c>
      <c r="F91" s="545"/>
      <c r="G91" s="515">
        <f t="shared" si="3"/>
        <v>4800000</v>
      </c>
      <c r="H91" s="516">
        <f t="shared" si="2"/>
        <v>11144819</v>
      </c>
      <c r="I91" s="554"/>
      <c r="J91" s="555"/>
      <c r="K91" s="519"/>
    </row>
    <row r="92" spans="1:11" ht="24.95" customHeight="1" x14ac:dyDescent="0.25">
      <c r="A92" s="544" t="s">
        <v>793</v>
      </c>
      <c r="B92" s="513" t="s">
        <v>794</v>
      </c>
      <c r="C92" s="545">
        <v>1200000</v>
      </c>
      <c r="D92" s="553"/>
      <c r="E92" s="545">
        <f>[6]Overhead!J572</f>
        <v>1200000</v>
      </c>
      <c r="F92" s="545"/>
      <c r="G92" s="515">
        <f t="shared" si="3"/>
        <v>1200000</v>
      </c>
      <c r="H92" s="516">
        <f t="shared" si="2"/>
        <v>1200000</v>
      </c>
      <c r="I92" s="554"/>
      <c r="J92" s="555"/>
      <c r="K92" s="569"/>
    </row>
    <row r="93" spans="1:11" ht="24.95" customHeight="1" x14ac:dyDescent="0.25">
      <c r="A93" s="544" t="s">
        <v>795</v>
      </c>
      <c r="B93" s="513" t="s">
        <v>796</v>
      </c>
      <c r="C93" s="545">
        <v>600000</v>
      </c>
      <c r="D93" s="540"/>
      <c r="E93" s="545">
        <f>[6]Overhead!J579</f>
        <v>600000</v>
      </c>
      <c r="F93" s="545">
        <f>[6]Overhead!J578</f>
        <v>3000000</v>
      </c>
      <c r="G93" s="515">
        <f t="shared" si="3"/>
        <v>3600000</v>
      </c>
      <c r="H93" s="516">
        <f t="shared" si="2"/>
        <v>3600000</v>
      </c>
      <c r="I93" s="509"/>
      <c r="J93" s="510"/>
      <c r="K93" s="507"/>
    </row>
    <row r="94" spans="1:11" ht="24.95" customHeight="1" x14ac:dyDescent="0.25">
      <c r="A94" s="544" t="s">
        <v>795</v>
      </c>
      <c r="B94" s="513" t="s">
        <v>797</v>
      </c>
      <c r="C94" s="566">
        <v>1200000</v>
      </c>
      <c r="D94" s="529"/>
      <c r="E94" s="545">
        <f>[6]Overhead!J574</f>
        <v>1200000</v>
      </c>
      <c r="F94" s="539"/>
      <c r="G94" s="515">
        <f t="shared" si="3"/>
        <v>1200000</v>
      </c>
      <c r="H94" s="516">
        <f t="shared" si="2"/>
        <v>1200000</v>
      </c>
      <c r="I94" s="535"/>
      <c r="J94" s="518"/>
      <c r="K94" s="536"/>
    </row>
    <row r="95" spans="1:11" ht="24.95" customHeight="1" x14ac:dyDescent="0.25">
      <c r="A95" s="544"/>
      <c r="B95" s="889" t="s">
        <v>717</v>
      </c>
      <c r="C95" s="546">
        <f>SUM(C89:C94)</f>
        <v>1328189369</v>
      </c>
      <c r="D95" s="546">
        <f>SUM(D89:D94)</f>
        <v>1462629543</v>
      </c>
      <c r="E95" s="546">
        <f>SUM(E89:E94)</f>
        <v>25200000</v>
      </c>
      <c r="F95" s="546">
        <f>SUM(F89:F94)</f>
        <v>12000000</v>
      </c>
      <c r="G95" s="530">
        <f t="shared" si="3"/>
        <v>37200000</v>
      </c>
      <c r="H95" s="531">
        <f t="shared" si="2"/>
        <v>1499829543</v>
      </c>
      <c r="I95" s="535"/>
      <c r="J95" s="518"/>
      <c r="K95" s="536"/>
    </row>
    <row r="96" spans="1:11" ht="24.95" customHeight="1" x14ac:dyDescent="0.25">
      <c r="A96" s="544" t="s">
        <v>2219</v>
      </c>
      <c r="B96" s="513" t="s">
        <v>798</v>
      </c>
      <c r="C96" s="545">
        <v>404812371</v>
      </c>
      <c r="D96" s="515">
        <f>[6]Personnel!J60</f>
        <v>367462371</v>
      </c>
      <c r="E96" s="515">
        <f>[6]Overhead!J589</f>
        <v>13500000</v>
      </c>
      <c r="F96" s="515">
        <f>[6]Overhead!J588</f>
        <v>24750000</v>
      </c>
      <c r="G96" s="515">
        <f t="shared" si="3"/>
        <v>38250000</v>
      </c>
      <c r="H96" s="516">
        <f t="shared" si="2"/>
        <v>405712371</v>
      </c>
      <c r="I96" s="535"/>
      <c r="J96" s="518"/>
      <c r="K96" s="519"/>
    </row>
    <row r="97" spans="1:11" ht="44.25" customHeight="1" x14ac:dyDescent="0.25">
      <c r="A97" s="544" t="s">
        <v>799</v>
      </c>
      <c r="B97" s="513" t="s">
        <v>800</v>
      </c>
      <c r="C97" s="545">
        <v>8100000</v>
      </c>
      <c r="D97" s="529"/>
      <c r="E97" s="515">
        <f>[6]Overhead!J593</f>
        <v>8100000</v>
      </c>
      <c r="F97" s="515">
        <f>[6]Overhead!J592</f>
        <v>25000000</v>
      </c>
      <c r="G97" s="515">
        <f t="shared" si="3"/>
        <v>33100000</v>
      </c>
      <c r="H97" s="516">
        <f t="shared" ref="H97:H160" si="5">D97+G97</f>
        <v>33100000</v>
      </c>
      <c r="I97" s="535"/>
      <c r="J97" s="518"/>
      <c r="K97" s="519"/>
    </row>
    <row r="98" spans="1:11" ht="24.95" customHeight="1" x14ac:dyDescent="0.25">
      <c r="A98" s="544"/>
      <c r="B98" s="889" t="s">
        <v>717</v>
      </c>
      <c r="C98" s="546">
        <f>SUM(C96:C97)</f>
        <v>412912371</v>
      </c>
      <c r="D98" s="546">
        <f>SUM(D96:D97)</f>
        <v>367462371</v>
      </c>
      <c r="E98" s="546">
        <f>SUM(E96:E97)</f>
        <v>21600000</v>
      </c>
      <c r="F98" s="546">
        <f>SUM(F96:F97)</f>
        <v>49750000</v>
      </c>
      <c r="G98" s="530">
        <f t="shared" ref="G98:G161" si="6">E98+F98</f>
        <v>71350000</v>
      </c>
      <c r="H98" s="531">
        <f t="shared" si="5"/>
        <v>438812371</v>
      </c>
      <c r="I98" s="535"/>
      <c r="J98" s="518"/>
      <c r="K98" s="519"/>
    </row>
    <row r="99" spans="1:11" ht="24.95" customHeight="1" x14ac:dyDescent="0.25">
      <c r="A99" s="544" t="s">
        <v>2220</v>
      </c>
      <c r="B99" s="513" t="s">
        <v>801</v>
      </c>
      <c r="C99" s="515">
        <v>1183457005.6199999</v>
      </c>
      <c r="D99" s="515">
        <f>[6]Personnel!J62</f>
        <v>263407005.62</v>
      </c>
      <c r="E99" s="515">
        <f>[6]Overhead!J603</f>
        <v>16800000</v>
      </c>
      <c r="F99" s="515">
        <f>[6]Overhead!J602</f>
        <v>903250000</v>
      </c>
      <c r="G99" s="515">
        <f t="shared" si="6"/>
        <v>920050000</v>
      </c>
      <c r="H99" s="516">
        <f t="shared" si="5"/>
        <v>1183457005.6199999</v>
      </c>
      <c r="I99" s="535"/>
      <c r="J99" s="518"/>
      <c r="K99" s="519"/>
    </row>
    <row r="100" spans="1:11" ht="24.95" customHeight="1" x14ac:dyDescent="0.25">
      <c r="A100" s="544" t="s">
        <v>802</v>
      </c>
      <c r="B100" s="513" t="s">
        <v>803</v>
      </c>
      <c r="C100" s="515">
        <v>29700000</v>
      </c>
      <c r="D100" s="515">
        <f>[6]Personnel!J64</f>
        <v>93742580</v>
      </c>
      <c r="E100" s="515">
        <f>[6]Overhead!J608</f>
        <v>3600000</v>
      </c>
      <c r="F100" s="515">
        <f>[6]Overhead!J607</f>
        <v>26100000</v>
      </c>
      <c r="G100" s="515">
        <f t="shared" si="6"/>
        <v>29700000</v>
      </c>
      <c r="H100" s="516">
        <f t="shared" si="5"/>
        <v>123442580</v>
      </c>
      <c r="I100" s="570"/>
      <c r="J100" s="518"/>
      <c r="K100" s="519"/>
    </row>
    <row r="101" spans="1:11" ht="30" customHeight="1" x14ac:dyDescent="0.25">
      <c r="A101" s="544"/>
      <c r="B101" s="889" t="s">
        <v>717</v>
      </c>
      <c r="C101" s="546">
        <f>SUM(C99:C100)</f>
        <v>1213157005.6199999</v>
      </c>
      <c r="D101" s="546">
        <f>SUM(D99:D100)</f>
        <v>357149585.62</v>
      </c>
      <c r="E101" s="546">
        <f>SUM(E99:E100)</f>
        <v>20400000</v>
      </c>
      <c r="F101" s="546">
        <f>SUM(F99:F100)</f>
        <v>929350000</v>
      </c>
      <c r="G101" s="530">
        <f t="shared" si="6"/>
        <v>949750000</v>
      </c>
      <c r="H101" s="531">
        <f t="shared" si="5"/>
        <v>1306899585.6199999</v>
      </c>
      <c r="I101" s="535"/>
      <c r="J101" s="518"/>
      <c r="K101" s="536"/>
    </row>
    <row r="102" spans="1:11" ht="77.25" customHeight="1" x14ac:dyDescent="0.25">
      <c r="A102" s="571"/>
      <c r="B102" s="542"/>
      <c r="C102" s="543"/>
      <c r="D102" s="524">
        <v>32</v>
      </c>
      <c r="E102" s="572"/>
      <c r="F102" s="572"/>
      <c r="G102" s="525"/>
      <c r="H102" s="526"/>
      <c r="I102" s="535"/>
      <c r="J102" s="518"/>
      <c r="K102" s="536"/>
    </row>
    <row r="103" spans="1:11" ht="24.95" customHeight="1" x14ac:dyDescent="0.25">
      <c r="A103" s="544" t="s">
        <v>2221</v>
      </c>
      <c r="B103" s="513" t="s">
        <v>804</v>
      </c>
      <c r="C103" s="515">
        <v>645989954.65999997</v>
      </c>
      <c r="D103" s="515">
        <f>[6]Personnel!J66</f>
        <v>304173347</v>
      </c>
      <c r="E103" s="515">
        <f>[6]Overhead!J615</f>
        <v>14334000</v>
      </c>
      <c r="F103" s="515">
        <f>[6]Overhead!J614</f>
        <v>4850000</v>
      </c>
      <c r="G103" s="515">
        <f t="shared" si="6"/>
        <v>19184000</v>
      </c>
      <c r="H103" s="516">
        <f t="shared" si="5"/>
        <v>323357347</v>
      </c>
      <c r="I103" s="535"/>
      <c r="J103" s="518"/>
      <c r="K103" s="519"/>
    </row>
    <row r="104" spans="1:11" ht="24.95" customHeight="1" x14ac:dyDescent="0.25">
      <c r="A104" s="544" t="s">
        <v>805</v>
      </c>
      <c r="B104" s="513" t="s">
        <v>806</v>
      </c>
      <c r="C104" s="528"/>
      <c r="D104" s="515">
        <f>[6]Personnel!J68</f>
        <v>420793603</v>
      </c>
      <c r="E104" s="515">
        <f>[6]Overhead!J621</f>
        <v>40800000</v>
      </c>
      <c r="F104" s="515">
        <f>[6]Overhead!J618</f>
        <v>1000000</v>
      </c>
      <c r="G104" s="515">
        <f t="shared" si="6"/>
        <v>41800000</v>
      </c>
      <c r="H104" s="516">
        <f t="shared" si="5"/>
        <v>462593603</v>
      </c>
      <c r="I104" s="958"/>
      <c r="K104" s="519"/>
    </row>
    <row r="105" spans="1:11" ht="42" customHeight="1" x14ac:dyDescent="0.25">
      <c r="A105" s="544" t="s">
        <v>807</v>
      </c>
      <c r="B105" s="513" t="s">
        <v>808</v>
      </c>
      <c r="C105" s="515">
        <v>13549940</v>
      </c>
      <c r="D105" s="515">
        <f>[6]Personnel!J71</f>
        <v>117597555</v>
      </c>
      <c r="E105" s="515">
        <f>[6]Overhead!J628</f>
        <v>3000000</v>
      </c>
      <c r="F105" s="515">
        <f>[6]Overhead!J627</f>
        <v>11549940</v>
      </c>
      <c r="G105" s="515">
        <f t="shared" si="6"/>
        <v>14549940</v>
      </c>
      <c r="H105" s="516">
        <f t="shared" si="5"/>
        <v>132147495</v>
      </c>
      <c r="K105" s="519"/>
    </row>
    <row r="106" spans="1:11" ht="24.95" customHeight="1" x14ac:dyDescent="0.25">
      <c r="A106" s="544"/>
      <c r="B106" s="889" t="s">
        <v>717</v>
      </c>
      <c r="C106" s="573">
        <f>SUM(C103:C105)</f>
        <v>659539894.65999997</v>
      </c>
      <c r="D106" s="573">
        <f>SUM(D103:D105)</f>
        <v>842564505</v>
      </c>
      <c r="E106" s="573">
        <f>SUM(E103:E105)</f>
        <v>58134000</v>
      </c>
      <c r="F106" s="573">
        <f>SUM(F103:F105)</f>
        <v>17399940</v>
      </c>
      <c r="G106" s="530">
        <f t="shared" si="6"/>
        <v>75533940</v>
      </c>
      <c r="H106" s="531">
        <f t="shared" si="5"/>
        <v>918098445</v>
      </c>
      <c r="I106" s="554"/>
      <c r="J106" s="555"/>
      <c r="K106" s="569"/>
    </row>
    <row r="107" spans="1:11" ht="24.95" customHeight="1" x14ac:dyDescent="0.25">
      <c r="A107" s="544" t="s">
        <v>2222</v>
      </c>
      <c r="B107" s="513" t="s">
        <v>809</v>
      </c>
      <c r="C107" s="515">
        <v>130953502</v>
      </c>
      <c r="D107" s="515">
        <f>[6]Personnel!J73</f>
        <v>108671541</v>
      </c>
      <c r="E107" s="515">
        <f>[6]Overhead!J636</f>
        <v>12120000</v>
      </c>
      <c r="F107" s="515">
        <f>[6]Overhead!J635</f>
        <v>18000000</v>
      </c>
      <c r="G107" s="515">
        <f t="shared" si="6"/>
        <v>30120000</v>
      </c>
      <c r="H107" s="516">
        <f t="shared" si="5"/>
        <v>138791541</v>
      </c>
      <c r="I107" s="554"/>
      <c r="J107" s="555"/>
      <c r="K107" s="519"/>
    </row>
    <row r="108" spans="1:11" ht="24.95" customHeight="1" x14ac:dyDescent="0.25">
      <c r="A108" s="544" t="s">
        <v>2223</v>
      </c>
      <c r="B108" s="513" t="s">
        <v>810</v>
      </c>
      <c r="C108" s="515">
        <v>145542658.72</v>
      </c>
      <c r="D108" s="515">
        <f>[6]Personnel!J75</f>
        <v>59366027</v>
      </c>
      <c r="E108" s="515">
        <f>[6]Overhead!J646</f>
        <v>15600000</v>
      </c>
      <c r="F108" s="515">
        <f>[6]Overhead!J645</f>
        <v>87000000</v>
      </c>
      <c r="G108" s="515">
        <f t="shared" si="6"/>
        <v>102600000</v>
      </c>
      <c r="H108" s="516">
        <f t="shared" si="5"/>
        <v>161966027</v>
      </c>
      <c r="I108" s="509"/>
      <c r="J108" s="510"/>
      <c r="K108" s="519"/>
    </row>
    <row r="109" spans="1:11" ht="24.95" customHeight="1" x14ac:dyDescent="0.25">
      <c r="A109" s="544" t="s">
        <v>2224</v>
      </c>
      <c r="B109" s="513" t="s">
        <v>811</v>
      </c>
      <c r="C109" s="515">
        <v>10142628863.98</v>
      </c>
      <c r="D109" s="515">
        <f>[6]Personnel!J77</f>
        <v>136204517</v>
      </c>
      <c r="E109" s="515">
        <f>[6]Overhead!J667</f>
        <v>19800000</v>
      </c>
      <c r="F109" s="515">
        <f>[6]Overhead!J666</f>
        <v>10044069471</v>
      </c>
      <c r="G109" s="515">
        <f t="shared" si="6"/>
        <v>10063869471</v>
      </c>
      <c r="H109" s="516">
        <f t="shared" si="5"/>
        <v>10200073988</v>
      </c>
      <c r="I109" s="535"/>
      <c r="J109" s="518"/>
      <c r="K109" s="519"/>
    </row>
    <row r="110" spans="1:11" ht="24.95" customHeight="1" x14ac:dyDescent="0.25">
      <c r="A110" s="544" t="s">
        <v>812</v>
      </c>
      <c r="B110" s="513" t="s">
        <v>813</v>
      </c>
      <c r="C110" s="515"/>
      <c r="D110" s="529"/>
      <c r="E110" s="515">
        <f>[6]Overhead!J670</f>
        <v>2400000</v>
      </c>
      <c r="F110" s="515"/>
      <c r="G110" s="515">
        <f t="shared" si="6"/>
        <v>2400000</v>
      </c>
      <c r="H110" s="516">
        <f t="shared" si="5"/>
        <v>2400000</v>
      </c>
      <c r="I110" s="535"/>
      <c r="J110" s="518"/>
      <c r="K110" s="536"/>
    </row>
    <row r="111" spans="1:11" ht="24.95" customHeight="1" x14ac:dyDescent="0.25">
      <c r="A111" s="544"/>
      <c r="B111" s="889" t="s">
        <v>717</v>
      </c>
      <c r="C111" s="546">
        <f>SUM(C109:C110)</f>
        <v>10142628863.98</v>
      </c>
      <c r="D111" s="546">
        <f>SUM(D109:D110)</f>
        <v>136204517</v>
      </c>
      <c r="E111" s="546">
        <f>SUM(E109:E110)</f>
        <v>22200000</v>
      </c>
      <c r="F111" s="546">
        <f>SUM(F109:F110)</f>
        <v>10044069471</v>
      </c>
      <c r="G111" s="530">
        <f t="shared" si="6"/>
        <v>10066269471</v>
      </c>
      <c r="H111" s="531">
        <f t="shared" si="5"/>
        <v>10202473988</v>
      </c>
      <c r="I111" s="535"/>
      <c r="J111" s="518"/>
      <c r="K111" s="519"/>
    </row>
    <row r="112" spans="1:11" ht="24.95" customHeight="1" x14ac:dyDescent="0.25">
      <c r="A112" s="544" t="s">
        <v>2225</v>
      </c>
      <c r="B112" s="513" t="s">
        <v>814</v>
      </c>
      <c r="C112" s="515">
        <v>3881871561</v>
      </c>
      <c r="D112" s="515">
        <f>[6]Personnel!J79</f>
        <v>1289055304</v>
      </c>
      <c r="E112" s="539"/>
      <c r="F112" s="537">
        <f>[6]Overhead!J672</f>
        <v>3000000000</v>
      </c>
      <c r="G112" s="515">
        <f t="shared" si="6"/>
        <v>3000000000</v>
      </c>
      <c r="H112" s="516">
        <f t="shared" si="5"/>
        <v>4289055304</v>
      </c>
      <c r="I112" s="535"/>
      <c r="J112" s="518"/>
      <c r="K112" s="519"/>
    </row>
    <row r="113" spans="1:11" ht="24.95" customHeight="1" x14ac:dyDescent="0.25">
      <c r="A113" s="544" t="s">
        <v>2226</v>
      </c>
      <c r="B113" s="513" t="s">
        <v>815</v>
      </c>
      <c r="C113" s="515">
        <v>990683990.22000003</v>
      </c>
      <c r="D113" s="515">
        <f>[6]Personnel!J81</f>
        <v>346184154</v>
      </c>
      <c r="E113" s="537">
        <f>[6]Overhead!J714</f>
        <v>29400000</v>
      </c>
      <c r="F113" s="537">
        <f>[6]Overhead!J709</f>
        <v>859270000</v>
      </c>
      <c r="G113" s="515">
        <f t="shared" si="6"/>
        <v>888670000</v>
      </c>
      <c r="H113" s="516">
        <f t="shared" si="5"/>
        <v>1234854154</v>
      </c>
      <c r="I113" s="535"/>
      <c r="J113" s="518"/>
      <c r="K113" s="519"/>
    </row>
    <row r="114" spans="1:11" ht="24.95" customHeight="1" x14ac:dyDescent="0.25">
      <c r="A114" s="544" t="s">
        <v>2227</v>
      </c>
      <c r="B114" s="513" t="s">
        <v>816</v>
      </c>
      <c r="C114" s="515">
        <v>9700426479.6399994</v>
      </c>
      <c r="D114" s="515">
        <f>[6]Personnel!J83</f>
        <v>372323818</v>
      </c>
      <c r="E114" s="515">
        <f>[6]Overhead!J742</f>
        <v>42630000</v>
      </c>
      <c r="F114" s="537">
        <f>[6]Overhead!J736</f>
        <v>9356550000</v>
      </c>
      <c r="G114" s="515">
        <f t="shared" si="6"/>
        <v>9399180000</v>
      </c>
      <c r="H114" s="516">
        <f t="shared" si="5"/>
        <v>9771503818</v>
      </c>
      <c r="K114" s="519"/>
    </row>
    <row r="115" spans="1:11" ht="24.95" customHeight="1" x14ac:dyDescent="0.25">
      <c r="A115" s="544" t="s">
        <v>2228</v>
      </c>
      <c r="B115" s="513" t="s">
        <v>817</v>
      </c>
      <c r="C115" s="515">
        <v>340938049</v>
      </c>
      <c r="D115" s="515">
        <f>[6]Personnel!J85</f>
        <v>343034766</v>
      </c>
      <c r="E115" s="515">
        <f>[6]Overhead!J751</f>
        <v>20400000</v>
      </c>
      <c r="F115" s="537">
        <f>[6]Overhead!J748</f>
        <v>11000000</v>
      </c>
      <c r="G115" s="515">
        <f t="shared" si="6"/>
        <v>31400000</v>
      </c>
      <c r="H115" s="516">
        <f t="shared" si="5"/>
        <v>374434766</v>
      </c>
      <c r="I115" s="554"/>
      <c r="J115" s="555"/>
      <c r="K115" s="519"/>
    </row>
    <row r="116" spans="1:11" ht="24.95" customHeight="1" x14ac:dyDescent="0.25">
      <c r="A116" s="544" t="s">
        <v>2229</v>
      </c>
      <c r="B116" s="513" t="s">
        <v>818</v>
      </c>
      <c r="C116" s="515">
        <v>267029451.28</v>
      </c>
      <c r="D116" s="515">
        <f>[6]Personnel!J87</f>
        <v>243825673</v>
      </c>
      <c r="E116" s="537">
        <f>[6]Overhead!J762</f>
        <v>16275000</v>
      </c>
      <c r="F116" s="537">
        <f>[6]Overhead!J759</f>
        <v>45037136</v>
      </c>
      <c r="G116" s="515">
        <f t="shared" si="6"/>
        <v>61312136</v>
      </c>
      <c r="H116" s="516">
        <f t="shared" si="5"/>
        <v>305137809</v>
      </c>
      <c r="I116" s="554"/>
      <c r="J116" s="555"/>
      <c r="K116" s="519"/>
    </row>
    <row r="117" spans="1:11" ht="24.95" customHeight="1" x14ac:dyDescent="0.25">
      <c r="A117" s="544" t="s">
        <v>2230</v>
      </c>
      <c r="B117" s="513" t="s">
        <v>819</v>
      </c>
      <c r="C117" s="515">
        <v>269760331</v>
      </c>
      <c r="D117" s="515">
        <f>[6]Personnel!J89</f>
        <v>300584173.93276894</v>
      </c>
      <c r="E117" s="537">
        <f>[6]Overhead!J772</f>
        <v>12600000</v>
      </c>
      <c r="F117" s="537">
        <f>[6]Overhead!J771</f>
        <v>11750000</v>
      </c>
      <c r="G117" s="515">
        <f t="shared" si="6"/>
        <v>24350000</v>
      </c>
      <c r="H117" s="516">
        <f t="shared" si="5"/>
        <v>324934173.93276894</v>
      </c>
      <c r="I117" s="509"/>
      <c r="J117" s="510"/>
      <c r="K117" s="519"/>
    </row>
    <row r="118" spans="1:11" ht="24.95" customHeight="1" x14ac:dyDescent="0.25">
      <c r="A118" s="544" t="s">
        <v>820</v>
      </c>
      <c r="B118" s="513" t="s">
        <v>821</v>
      </c>
      <c r="C118" s="529"/>
      <c r="D118" s="515">
        <f>[6]Personnel!J92</f>
        <v>540483037</v>
      </c>
      <c r="E118" s="537">
        <f>[6]Overhead!J776</f>
        <v>14400000</v>
      </c>
      <c r="F118" s="515">
        <f>[6]Overhead!J775</f>
        <v>10000000</v>
      </c>
      <c r="G118" s="515">
        <f t="shared" si="6"/>
        <v>24400000</v>
      </c>
      <c r="H118" s="516">
        <f t="shared" si="5"/>
        <v>564883037</v>
      </c>
      <c r="I118" s="559"/>
      <c r="J118" s="518"/>
      <c r="K118" s="519"/>
    </row>
    <row r="119" spans="1:11" ht="39.75" customHeight="1" x14ac:dyDescent="0.25">
      <c r="A119" s="544" t="s">
        <v>822</v>
      </c>
      <c r="B119" s="513" t="s">
        <v>823</v>
      </c>
      <c r="C119" s="529"/>
      <c r="D119" s="515">
        <f>[6]Personnel!J94</f>
        <v>175644324</v>
      </c>
      <c r="E119" s="537"/>
      <c r="F119" s="537">
        <f>[6]Overhead!J779</f>
        <v>38000000</v>
      </c>
      <c r="G119" s="515">
        <f t="shared" si="6"/>
        <v>38000000</v>
      </c>
      <c r="H119" s="516">
        <f t="shared" si="5"/>
        <v>213644324</v>
      </c>
      <c r="I119" s="559"/>
      <c r="J119" s="518"/>
      <c r="K119" s="519"/>
    </row>
    <row r="120" spans="1:11" ht="24.95" customHeight="1" x14ac:dyDescent="0.25">
      <c r="A120" s="544"/>
      <c r="B120" s="889" t="s">
        <v>717</v>
      </c>
      <c r="C120" s="546">
        <f>SUM(C117:C119)</f>
        <v>269760331</v>
      </c>
      <c r="D120" s="546">
        <f>SUM(D117:D119)</f>
        <v>1016711534.9327689</v>
      </c>
      <c r="E120" s="546">
        <f>SUM(E117:E119)</f>
        <v>27000000</v>
      </c>
      <c r="F120" s="546">
        <f>SUM(F117:F119)</f>
        <v>59750000</v>
      </c>
      <c r="G120" s="530">
        <f t="shared" si="6"/>
        <v>86750000</v>
      </c>
      <c r="H120" s="531">
        <f t="shared" si="5"/>
        <v>1103461534.9327688</v>
      </c>
      <c r="I120" s="559"/>
      <c r="J120" s="518"/>
      <c r="K120" s="536"/>
    </row>
    <row r="121" spans="1:11" ht="24.95" customHeight="1" x14ac:dyDescent="0.25">
      <c r="A121" s="544" t="s">
        <v>2231</v>
      </c>
      <c r="B121" s="513" t="s">
        <v>824</v>
      </c>
      <c r="C121" s="515">
        <v>56940864.5</v>
      </c>
      <c r="D121" s="515">
        <f>[6]Personnel!J96</f>
        <v>106391117</v>
      </c>
      <c r="E121" s="537">
        <f>[6]Overhead!J781</f>
        <v>5400000</v>
      </c>
      <c r="F121" s="537"/>
      <c r="G121" s="515">
        <f t="shared" si="6"/>
        <v>5400000</v>
      </c>
      <c r="H121" s="516">
        <f t="shared" si="5"/>
        <v>111791117</v>
      </c>
      <c r="I121" s="559"/>
      <c r="J121" s="518"/>
      <c r="K121" s="519"/>
    </row>
    <row r="122" spans="1:11" ht="24.95" customHeight="1" x14ac:dyDescent="0.25">
      <c r="A122" s="544" t="s">
        <v>2232</v>
      </c>
      <c r="B122" s="513" t="s">
        <v>825</v>
      </c>
      <c r="C122" s="529"/>
      <c r="D122" s="529"/>
      <c r="E122" s="537">
        <f>[6]Overhead!J800</f>
        <v>20000000</v>
      </c>
      <c r="F122" s="537"/>
      <c r="G122" s="515">
        <f t="shared" si="6"/>
        <v>20000000</v>
      </c>
      <c r="H122" s="516">
        <f t="shared" si="5"/>
        <v>20000000</v>
      </c>
      <c r="I122" s="559"/>
      <c r="J122" s="518"/>
      <c r="K122" s="536"/>
    </row>
    <row r="123" spans="1:11" ht="42.75" customHeight="1" x14ac:dyDescent="0.25">
      <c r="A123" s="969" t="s">
        <v>826</v>
      </c>
      <c r="B123" s="969"/>
      <c r="C123" s="530">
        <f>SUM(C81:C83,C85:C87,C89:C94,C96:C97,C99:C100,C103:C105,C107,C108,C109:C110,C112,C113,C114,C115,C116,C117:C119,C121:C122)</f>
        <v>30709146019.139999</v>
      </c>
      <c r="D123" s="530">
        <f>SUM(D81:D83,D85:D87,D89:D94,D96:D97,D99:D100,D103:D105,D107,D108,D109:D110,D112,D113,D114,D115,D116,D117:D119,D121:D122)</f>
        <v>7912943116.3727694</v>
      </c>
      <c r="E123" s="530">
        <f>SUM(E81:E83,E85:E87,E89:E94,E96:E97,E99:E100,E103:E105,E107,E108,E109:E110,E112,E113,E114,E115,E116,E117:E119,E121:E122)</f>
        <v>399459000</v>
      </c>
      <c r="F123" s="530">
        <f>SUM(F81:F83,F85:F87,F89:F94,F96:F97,F99:F100,F103:F105,F107,F108,F109:F110,F112,F113,F114,F115,F116,F117:F119,F121:F122)</f>
        <v>25091839047</v>
      </c>
      <c r="G123" s="530">
        <f>SUM(G81:G83,G85:G87,G89:G94,G96:G97,G99:G100,G103:G105,G107,G108,G109:G110,G112,G113,G114,G115,G116,G117:G119,G121:G122)</f>
        <v>25491298047</v>
      </c>
      <c r="H123" s="531">
        <f t="shared" si="5"/>
        <v>33404241163.372768</v>
      </c>
      <c r="K123" s="574"/>
    </row>
    <row r="124" spans="1:11" ht="90" customHeight="1" x14ac:dyDescent="0.25">
      <c r="A124" s="542"/>
      <c r="B124" s="542"/>
      <c r="C124" s="541"/>
      <c r="D124" s="524">
        <v>33</v>
      </c>
      <c r="E124" s="525"/>
      <c r="F124" s="525"/>
      <c r="G124" s="525"/>
      <c r="H124" s="526"/>
      <c r="K124" s="574"/>
    </row>
    <row r="125" spans="1:11" ht="30" customHeight="1" x14ac:dyDescent="0.25">
      <c r="A125" s="575"/>
      <c r="B125" s="575" t="s">
        <v>827</v>
      </c>
      <c r="C125" s="575"/>
      <c r="D125" s="575"/>
      <c r="E125" s="575"/>
      <c r="F125" s="575"/>
      <c r="G125" s="515"/>
      <c r="H125" s="516"/>
      <c r="I125" s="959"/>
      <c r="J125" s="555"/>
      <c r="K125" s="569"/>
    </row>
    <row r="126" spans="1:11" ht="30" customHeight="1" x14ac:dyDescent="0.25">
      <c r="A126" s="544" t="s">
        <v>2233</v>
      </c>
      <c r="B126" s="513" t="s">
        <v>828</v>
      </c>
      <c r="C126" s="515">
        <v>529948731.60000002</v>
      </c>
      <c r="D126" s="515">
        <f>[6]Personnel!J100</f>
        <v>609635011</v>
      </c>
      <c r="E126" s="537">
        <f>[6]Overhead!J826</f>
        <v>7200000</v>
      </c>
      <c r="F126" s="537">
        <f>[6]Overhead!J825</f>
        <v>1492340000</v>
      </c>
      <c r="G126" s="515">
        <f t="shared" si="6"/>
        <v>1499540000</v>
      </c>
      <c r="H126" s="516">
        <f t="shared" si="5"/>
        <v>2109175011</v>
      </c>
      <c r="I126" s="554"/>
      <c r="J126" s="555"/>
      <c r="K126" s="519"/>
    </row>
    <row r="127" spans="1:11" ht="27.75" customHeight="1" x14ac:dyDescent="0.25">
      <c r="A127" s="544" t="s">
        <v>2234</v>
      </c>
      <c r="B127" s="513" t="s">
        <v>829</v>
      </c>
      <c r="C127" s="515">
        <v>2405318090.3200002</v>
      </c>
      <c r="D127" s="515">
        <f>[6]Personnel!J102</f>
        <v>3001226745</v>
      </c>
      <c r="E127" s="537">
        <f>[6]Overhead!J843</f>
        <v>144000000</v>
      </c>
      <c r="F127" s="537">
        <f>[6]Overhead!J840</f>
        <v>360925000</v>
      </c>
      <c r="G127" s="515">
        <f t="shared" si="6"/>
        <v>504925000</v>
      </c>
      <c r="H127" s="516">
        <f t="shared" si="5"/>
        <v>3506151745</v>
      </c>
      <c r="I127" s="509"/>
      <c r="J127" s="510"/>
      <c r="K127" s="519"/>
    </row>
    <row r="128" spans="1:11" ht="27.75" customHeight="1" x14ac:dyDescent="0.25">
      <c r="A128" s="544" t="s">
        <v>2235</v>
      </c>
      <c r="B128" s="513" t="s">
        <v>830</v>
      </c>
      <c r="C128" s="515"/>
      <c r="D128" s="515">
        <f>[6]Personnel!J104</f>
        <v>42527217</v>
      </c>
      <c r="E128" s="537"/>
      <c r="F128" s="537"/>
      <c r="G128" s="515">
        <f t="shared" si="6"/>
        <v>0</v>
      </c>
      <c r="H128" s="516">
        <f t="shared" si="5"/>
        <v>42527217</v>
      </c>
      <c r="I128" s="509"/>
      <c r="J128" s="510"/>
      <c r="K128" s="519"/>
    </row>
    <row r="129" spans="1:12" ht="27" customHeight="1" x14ac:dyDescent="0.25">
      <c r="A129" s="544" t="s">
        <v>2236</v>
      </c>
      <c r="B129" s="513" t="s">
        <v>831</v>
      </c>
      <c r="C129" s="515">
        <v>1496216135</v>
      </c>
      <c r="D129" s="515">
        <f>[6]Personnel!J106</f>
        <v>1615918395</v>
      </c>
      <c r="E129" s="515">
        <f>[6]Overhead!J853</f>
        <v>60000000</v>
      </c>
      <c r="F129" s="515">
        <f>[6]Overhead!J852</f>
        <v>57500000</v>
      </c>
      <c r="G129" s="515">
        <f t="shared" si="6"/>
        <v>117500000</v>
      </c>
      <c r="H129" s="516">
        <f t="shared" si="5"/>
        <v>1733418395</v>
      </c>
      <c r="I129" s="535"/>
      <c r="J129" s="518"/>
      <c r="K129" s="519"/>
    </row>
    <row r="130" spans="1:12" ht="25.5" customHeight="1" x14ac:dyDescent="0.25">
      <c r="A130" s="544" t="s">
        <v>2237</v>
      </c>
      <c r="B130" s="513" t="s">
        <v>832</v>
      </c>
      <c r="C130" s="515">
        <v>52606683</v>
      </c>
      <c r="D130" s="515">
        <f>[6]Personnel!J108</f>
        <v>87319882</v>
      </c>
      <c r="E130" s="515">
        <f>[6]Overhead!J866</f>
        <v>9000000</v>
      </c>
      <c r="F130" s="515">
        <f>[6]Overhead!J865</f>
        <v>35000000</v>
      </c>
      <c r="G130" s="515">
        <f t="shared" si="6"/>
        <v>44000000</v>
      </c>
      <c r="H130" s="516">
        <f t="shared" si="5"/>
        <v>131319882</v>
      </c>
      <c r="I130" s="535"/>
      <c r="J130" s="518"/>
      <c r="K130" s="519"/>
    </row>
    <row r="131" spans="1:12" ht="43.5" customHeight="1" x14ac:dyDescent="0.25">
      <c r="A131" s="969" t="s">
        <v>833</v>
      </c>
      <c r="B131" s="969"/>
      <c r="C131" s="530">
        <f>SUM(C126,C127,C128,C129,C130)</f>
        <v>4484089639.9200001</v>
      </c>
      <c r="D131" s="530">
        <f>SUM(D126,D127,D128,D129,D130)</f>
        <v>5356627250</v>
      </c>
      <c r="E131" s="530">
        <f>SUM(E126,E127,E128,E129,E130)</f>
        <v>220200000</v>
      </c>
      <c r="F131" s="530">
        <f>SUM(F126,F127,F128,F129,F130)</f>
        <v>1945765000</v>
      </c>
      <c r="G131" s="530">
        <f>SUM(G126,G127,G128,G129,G130)</f>
        <v>2165965000</v>
      </c>
      <c r="H131" s="531">
        <f t="shared" si="5"/>
        <v>7522592250</v>
      </c>
      <c r="I131" s="535"/>
      <c r="J131" s="518"/>
      <c r="K131" s="519"/>
    </row>
    <row r="132" spans="1:12" s="563" customFormat="1" ht="30" customHeight="1" x14ac:dyDescent="0.25">
      <c r="A132" s="560"/>
      <c r="B132" s="560" t="s">
        <v>834</v>
      </c>
      <c r="C132" s="560"/>
      <c r="D132" s="560"/>
      <c r="E132" s="560"/>
      <c r="F132" s="560"/>
      <c r="G132" s="515"/>
      <c r="H132" s="561"/>
      <c r="I132" s="576"/>
      <c r="J132" s="518"/>
      <c r="K132" s="519"/>
      <c r="L132" s="562"/>
    </row>
    <row r="133" spans="1:12" ht="35.25" customHeight="1" x14ac:dyDescent="0.25">
      <c r="A133" s="544" t="s">
        <v>2238</v>
      </c>
      <c r="B133" s="513" t="s">
        <v>835</v>
      </c>
      <c r="C133" s="529"/>
      <c r="D133" s="529"/>
      <c r="E133" s="577"/>
      <c r="F133" s="515">
        <f>[6]Overhead!J871</f>
        <v>10000000</v>
      </c>
      <c r="G133" s="515">
        <f t="shared" si="6"/>
        <v>10000000</v>
      </c>
      <c r="H133" s="516">
        <f t="shared" si="5"/>
        <v>10000000</v>
      </c>
      <c r="I133" s="535"/>
      <c r="J133" s="518"/>
      <c r="K133" s="536"/>
    </row>
    <row r="134" spans="1:12" ht="39" customHeight="1" x14ac:dyDescent="0.25">
      <c r="A134" s="544" t="s">
        <v>2189</v>
      </c>
      <c r="B134" s="513" t="s">
        <v>836</v>
      </c>
      <c r="C134" s="515">
        <v>125000000</v>
      </c>
      <c r="D134" s="529"/>
      <c r="E134" s="515">
        <f>[6]Overhead!J874</f>
        <v>45000000</v>
      </c>
      <c r="F134" s="515">
        <f>[6]Overhead!J873</f>
        <v>80000000</v>
      </c>
      <c r="G134" s="515">
        <f t="shared" si="6"/>
        <v>125000000</v>
      </c>
      <c r="H134" s="516">
        <f t="shared" si="5"/>
        <v>125000000</v>
      </c>
      <c r="I134" s="535"/>
      <c r="J134" s="518"/>
      <c r="K134" s="536"/>
    </row>
    <row r="135" spans="1:12" ht="34.5" customHeight="1" x14ac:dyDescent="0.25">
      <c r="A135" s="544" t="s">
        <v>2240</v>
      </c>
      <c r="B135" s="513" t="s">
        <v>837</v>
      </c>
      <c r="C135" s="528"/>
      <c r="D135" s="529"/>
      <c r="E135" s="528"/>
      <c r="F135" s="515">
        <f>[6]Overhead!J877</f>
        <v>125000000</v>
      </c>
      <c r="G135" s="515">
        <f t="shared" si="6"/>
        <v>125000000</v>
      </c>
      <c r="H135" s="516">
        <f t="shared" si="5"/>
        <v>125000000</v>
      </c>
      <c r="I135" s="535"/>
      <c r="J135" s="518"/>
      <c r="K135" s="536"/>
    </row>
    <row r="136" spans="1:12" ht="39" customHeight="1" x14ac:dyDescent="0.25">
      <c r="A136" s="969" t="s">
        <v>838</v>
      </c>
      <c r="B136" s="969"/>
      <c r="C136" s="530">
        <f>SUM(C133,C134,C135)</f>
        <v>125000000</v>
      </c>
      <c r="D136" s="530">
        <f>SUM(D133,D134,D135)</f>
        <v>0</v>
      </c>
      <c r="E136" s="530">
        <f>SUM(E133,E134,E135)</f>
        <v>45000000</v>
      </c>
      <c r="F136" s="530">
        <f>SUM(F133,F134,F135)</f>
        <v>215000000</v>
      </c>
      <c r="G136" s="530">
        <f>SUM(G133,G134,G135)</f>
        <v>260000000</v>
      </c>
      <c r="H136" s="531">
        <f t="shared" si="5"/>
        <v>260000000</v>
      </c>
      <c r="I136" s="535"/>
      <c r="J136" s="518"/>
      <c r="K136" s="519"/>
    </row>
    <row r="137" spans="1:12" s="563" customFormat="1" ht="30" customHeight="1" x14ac:dyDescent="0.25">
      <c r="A137" s="560"/>
      <c r="B137" s="560" t="s">
        <v>839</v>
      </c>
      <c r="C137" s="560"/>
      <c r="D137" s="560"/>
      <c r="E137" s="560"/>
      <c r="F137" s="560"/>
      <c r="G137" s="515"/>
      <c r="H137" s="561"/>
      <c r="I137" s="576"/>
      <c r="J137" s="518"/>
      <c r="K137" s="519"/>
      <c r="L137" s="562"/>
    </row>
    <row r="138" spans="1:12" ht="26.25" customHeight="1" x14ac:dyDescent="0.25">
      <c r="A138" s="544" t="s">
        <v>2239</v>
      </c>
      <c r="B138" s="513" t="s">
        <v>840</v>
      </c>
      <c r="C138" s="515">
        <v>159491145.47999999</v>
      </c>
      <c r="D138" s="515">
        <f>[6]Personnel!J113</f>
        <v>150287106</v>
      </c>
      <c r="E138" s="515">
        <f>[6]Overhead!J894</f>
        <v>16000000</v>
      </c>
      <c r="F138" s="515">
        <f>[6]Overhead!J893</f>
        <v>87500000</v>
      </c>
      <c r="G138" s="515">
        <f t="shared" si="6"/>
        <v>103500000</v>
      </c>
      <c r="H138" s="516">
        <f t="shared" si="5"/>
        <v>253787106</v>
      </c>
      <c r="I138" s="535"/>
      <c r="J138" s="518"/>
      <c r="K138" s="519"/>
    </row>
    <row r="139" spans="1:12" ht="23.25" customHeight="1" x14ac:dyDescent="0.25">
      <c r="A139" s="544" t="s">
        <v>2241</v>
      </c>
      <c r="B139" s="513" t="s">
        <v>841</v>
      </c>
      <c r="C139" s="515">
        <v>23555014</v>
      </c>
      <c r="D139" s="515">
        <f>[6]Personnel!J115</f>
        <v>139181424</v>
      </c>
      <c r="E139" s="515">
        <f>[6]Overhead!J904</f>
        <v>7800000</v>
      </c>
      <c r="F139" s="515">
        <f>[6]Overhead!J900</f>
        <v>122840000</v>
      </c>
      <c r="G139" s="515">
        <f t="shared" si="6"/>
        <v>130640000</v>
      </c>
      <c r="H139" s="516">
        <f t="shared" si="5"/>
        <v>269821424</v>
      </c>
      <c r="I139" s="535"/>
      <c r="J139" s="518"/>
      <c r="K139" s="519"/>
    </row>
    <row r="140" spans="1:12" ht="24" customHeight="1" x14ac:dyDescent="0.25">
      <c r="A140" s="544" t="s">
        <v>2242</v>
      </c>
      <c r="B140" s="513" t="s">
        <v>842</v>
      </c>
      <c r="C140" s="515">
        <v>104603980</v>
      </c>
      <c r="D140" s="515">
        <f>[6]Personnel!J117</f>
        <v>117489859</v>
      </c>
      <c r="E140" s="516">
        <f>[6]Overhead!J913</f>
        <v>11400000</v>
      </c>
      <c r="F140" s="515">
        <f>[6]Overhead!J912</f>
        <v>7835000</v>
      </c>
      <c r="G140" s="515">
        <f t="shared" si="6"/>
        <v>19235000</v>
      </c>
      <c r="H140" s="516">
        <f t="shared" si="5"/>
        <v>136724859</v>
      </c>
      <c r="I140" s="535"/>
      <c r="J140" s="518"/>
      <c r="K140" s="519"/>
    </row>
    <row r="141" spans="1:12" ht="23.25" customHeight="1" x14ac:dyDescent="0.25">
      <c r="A141" s="544" t="s">
        <v>2243</v>
      </c>
      <c r="B141" s="513" t="s">
        <v>843</v>
      </c>
      <c r="C141" s="515">
        <v>229709161</v>
      </c>
      <c r="D141" s="515">
        <f>[6]Personnel!J119</f>
        <v>280807172</v>
      </c>
      <c r="E141" s="516">
        <f>[6]Overhead!J923</f>
        <v>28200000</v>
      </c>
      <c r="F141" s="515">
        <f>[6]Overhead!J920</f>
        <v>46000000</v>
      </c>
      <c r="G141" s="515">
        <f t="shared" si="6"/>
        <v>74200000</v>
      </c>
      <c r="H141" s="516">
        <f t="shared" si="5"/>
        <v>355007172</v>
      </c>
      <c r="I141" s="535"/>
      <c r="J141" s="518"/>
      <c r="K141" s="519"/>
    </row>
    <row r="142" spans="1:12" ht="21.75" customHeight="1" x14ac:dyDescent="0.25">
      <c r="A142" s="544" t="s">
        <v>844</v>
      </c>
      <c r="B142" s="513" t="s">
        <v>845</v>
      </c>
      <c r="C142" s="515">
        <v>109603410</v>
      </c>
      <c r="D142" s="515">
        <f>[6]Personnel!J121</f>
        <v>116792507</v>
      </c>
      <c r="E142" s="516">
        <f>[6]Overhead!J929</f>
        <v>8400000</v>
      </c>
      <c r="F142" s="516">
        <f>[6]Overhead!J928</f>
        <v>150000000</v>
      </c>
      <c r="G142" s="515">
        <f t="shared" si="6"/>
        <v>158400000</v>
      </c>
      <c r="H142" s="516">
        <f t="shared" si="5"/>
        <v>275192507</v>
      </c>
      <c r="I142" s="535"/>
      <c r="J142" s="518"/>
      <c r="K142" s="519"/>
    </row>
    <row r="143" spans="1:12" ht="41.25" customHeight="1" x14ac:dyDescent="0.25">
      <c r="A143" s="544" t="s">
        <v>846</v>
      </c>
      <c r="B143" s="513" t="s">
        <v>847</v>
      </c>
      <c r="C143" s="528"/>
      <c r="D143" s="515">
        <f>[6]Personnel!J123</f>
        <v>13440759</v>
      </c>
      <c r="E143" s="515">
        <f>[6]Overhead!J926</f>
        <v>3000000</v>
      </c>
      <c r="F143" s="578"/>
      <c r="G143" s="515">
        <f t="shared" si="6"/>
        <v>3000000</v>
      </c>
      <c r="H143" s="516">
        <f t="shared" si="5"/>
        <v>16440759</v>
      </c>
      <c r="I143" s="535"/>
      <c r="J143" s="518"/>
      <c r="K143" s="519"/>
    </row>
    <row r="144" spans="1:12" ht="29.25" customHeight="1" x14ac:dyDescent="0.25">
      <c r="A144" s="544"/>
      <c r="B144" s="889" t="s">
        <v>717</v>
      </c>
      <c r="C144" s="530">
        <f>SUM(C141:C143)</f>
        <v>339312571</v>
      </c>
      <c r="D144" s="530">
        <f>SUM(D141:D143)</f>
        <v>411040438</v>
      </c>
      <c r="E144" s="530">
        <f>SUM(E141:E143)</f>
        <v>39600000</v>
      </c>
      <c r="F144" s="530">
        <f>SUM(F141:F143)</f>
        <v>196000000</v>
      </c>
      <c r="G144" s="530">
        <f t="shared" si="6"/>
        <v>235600000</v>
      </c>
      <c r="H144" s="531">
        <f t="shared" si="5"/>
        <v>646640438</v>
      </c>
      <c r="I144" s="535"/>
      <c r="J144" s="518"/>
      <c r="K144" s="579"/>
    </row>
    <row r="145" spans="1:11" ht="69" customHeight="1" x14ac:dyDescent="0.25">
      <c r="A145" s="571"/>
      <c r="B145" s="542"/>
      <c r="C145" s="525"/>
      <c r="D145" s="524">
        <v>34</v>
      </c>
      <c r="E145" s="525"/>
      <c r="F145" s="580"/>
      <c r="G145" s="525"/>
      <c r="H145" s="526"/>
      <c r="I145" s="535"/>
      <c r="J145" s="518"/>
      <c r="K145" s="579"/>
    </row>
    <row r="146" spans="1:11" ht="27" customHeight="1" x14ac:dyDescent="0.25">
      <c r="A146" s="544" t="s">
        <v>2245</v>
      </c>
      <c r="B146" s="513" t="s">
        <v>848</v>
      </c>
      <c r="C146" s="515">
        <v>883090685</v>
      </c>
      <c r="D146" s="515">
        <f>[6]Personnel!J125</f>
        <v>1078321274</v>
      </c>
      <c r="E146" s="515">
        <f>[6]Overhead!J953</f>
        <v>9000000</v>
      </c>
      <c r="F146" s="515">
        <f>[6]Overhead!J952</f>
        <v>854000000</v>
      </c>
      <c r="G146" s="515">
        <f t="shared" si="6"/>
        <v>863000000</v>
      </c>
      <c r="H146" s="516">
        <f t="shared" si="5"/>
        <v>1941321274</v>
      </c>
      <c r="K146" s="574"/>
    </row>
    <row r="147" spans="1:11" ht="36.950000000000003" customHeight="1" x14ac:dyDescent="0.25">
      <c r="A147" s="544" t="s">
        <v>2244</v>
      </c>
      <c r="B147" s="513" t="s">
        <v>849</v>
      </c>
      <c r="C147" s="515">
        <v>730703352</v>
      </c>
      <c r="D147" s="515">
        <f>[6]Personnel!J127</f>
        <v>946068409</v>
      </c>
      <c r="E147" s="515">
        <f>[6]Overhead!J995</f>
        <v>198750000</v>
      </c>
      <c r="F147" s="515">
        <f>[6]Overhead!J990</f>
        <v>4217149976</v>
      </c>
      <c r="G147" s="515">
        <f t="shared" si="6"/>
        <v>4415899976</v>
      </c>
      <c r="H147" s="516">
        <f t="shared" si="5"/>
        <v>5361968385</v>
      </c>
      <c r="K147" s="519"/>
    </row>
    <row r="148" spans="1:11" ht="36.950000000000003" customHeight="1" x14ac:dyDescent="0.25">
      <c r="A148" s="544" t="s">
        <v>2246</v>
      </c>
      <c r="B148" s="513" t="s">
        <v>850</v>
      </c>
      <c r="C148" s="528"/>
      <c r="D148" s="528"/>
      <c r="E148" s="516">
        <f>[6]Overhead!J1003</f>
        <v>33000000</v>
      </c>
      <c r="F148" s="515">
        <f>[6]Overhead!J1002</f>
        <v>100000000</v>
      </c>
      <c r="G148" s="515">
        <f t="shared" si="6"/>
        <v>133000000</v>
      </c>
      <c r="H148" s="516">
        <f t="shared" si="5"/>
        <v>133000000</v>
      </c>
    </row>
    <row r="149" spans="1:11" ht="27" customHeight="1" x14ac:dyDescent="0.25">
      <c r="A149" s="544" t="s">
        <v>851</v>
      </c>
      <c r="B149" s="513" t="s">
        <v>852</v>
      </c>
      <c r="C149" s="528"/>
      <c r="D149" s="528"/>
      <c r="E149" s="516">
        <f>[6]Overhead!J999</f>
        <v>6300000</v>
      </c>
      <c r="F149" s="515">
        <f>[6]Overhead!J998</f>
        <v>6000000</v>
      </c>
      <c r="G149" s="515">
        <f t="shared" si="6"/>
        <v>12300000</v>
      </c>
      <c r="H149" s="516">
        <f t="shared" si="5"/>
        <v>12300000</v>
      </c>
    </row>
    <row r="150" spans="1:11" ht="27" customHeight="1" x14ac:dyDescent="0.25">
      <c r="A150" s="544" t="s">
        <v>853</v>
      </c>
      <c r="B150" s="513" t="s">
        <v>662</v>
      </c>
      <c r="C150" s="528"/>
      <c r="D150" s="516">
        <f>[6]Personnel!J129</f>
        <v>424363764.71170104</v>
      </c>
      <c r="E150" s="516">
        <f>[6]Overhead!J1007</f>
        <v>30000000</v>
      </c>
      <c r="F150" s="516">
        <f>[6]Overhead!J1006</f>
        <v>50000000</v>
      </c>
      <c r="G150" s="515">
        <f t="shared" si="6"/>
        <v>80000000</v>
      </c>
      <c r="H150" s="516">
        <f t="shared" si="5"/>
        <v>504363764.71170104</v>
      </c>
      <c r="K150" s="519"/>
    </row>
    <row r="151" spans="1:11" ht="27" customHeight="1" x14ac:dyDescent="0.25">
      <c r="A151" s="544" t="s">
        <v>854</v>
      </c>
      <c r="B151" s="513" t="s">
        <v>855</v>
      </c>
      <c r="C151" s="581"/>
      <c r="D151" s="516">
        <f>[6]Personnel!J132</f>
        <v>24184527197.656742</v>
      </c>
      <c r="E151" s="516">
        <f>[6]Overhead!J1011</f>
        <v>26400000</v>
      </c>
      <c r="F151" s="516">
        <f>[6]Overhead!J1010</f>
        <v>40000000</v>
      </c>
      <c r="G151" s="515">
        <f t="shared" si="6"/>
        <v>66400000</v>
      </c>
      <c r="H151" s="516">
        <f t="shared" si="5"/>
        <v>24250927197.656742</v>
      </c>
      <c r="K151" s="519"/>
    </row>
    <row r="152" spans="1:11" ht="27" customHeight="1" x14ac:dyDescent="0.25">
      <c r="A152" s="544" t="s">
        <v>856</v>
      </c>
      <c r="B152" s="513" t="s">
        <v>857</v>
      </c>
      <c r="C152" s="528"/>
      <c r="D152" s="528"/>
      <c r="E152" s="516">
        <f>[6]Overhead!J1015</f>
        <v>10200000</v>
      </c>
      <c r="F152" s="516"/>
      <c r="G152" s="515">
        <f t="shared" si="6"/>
        <v>10200000</v>
      </c>
      <c r="H152" s="516">
        <f t="shared" si="5"/>
        <v>10200000</v>
      </c>
    </row>
    <row r="153" spans="1:11" ht="27" customHeight="1" x14ac:dyDescent="0.25">
      <c r="A153" s="544" t="s">
        <v>858</v>
      </c>
      <c r="B153" s="513" t="s">
        <v>859</v>
      </c>
      <c r="C153" s="528"/>
      <c r="D153" s="528"/>
      <c r="E153" s="582">
        <f>[6]Overhead!J1018</f>
        <v>1200000</v>
      </c>
      <c r="F153" s="582">
        <f>[6]Overhead!J1017</f>
        <v>2200000</v>
      </c>
      <c r="G153" s="515">
        <f t="shared" si="6"/>
        <v>3400000</v>
      </c>
      <c r="H153" s="516">
        <f>D153+G153</f>
        <v>3400000</v>
      </c>
      <c r="I153" s="961"/>
      <c r="J153" s="954"/>
      <c r="K153" s="536"/>
    </row>
    <row r="154" spans="1:11" ht="27" customHeight="1" x14ac:dyDescent="0.25">
      <c r="A154" s="544" t="s">
        <v>860</v>
      </c>
      <c r="B154" s="513" t="s">
        <v>861</v>
      </c>
      <c r="C154" s="553"/>
      <c r="D154" s="582">
        <f>[6]Personnel!J134</f>
        <v>429845207.89132887</v>
      </c>
      <c r="E154" s="582">
        <f>[6]Overhead!J1022</f>
        <v>9600000</v>
      </c>
      <c r="F154" s="582">
        <f>[6]Overhead!J1021</f>
        <v>700000</v>
      </c>
      <c r="G154" s="515">
        <f t="shared" si="6"/>
        <v>10300000</v>
      </c>
      <c r="H154" s="516">
        <f t="shared" si="5"/>
        <v>440145207.89132887</v>
      </c>
      <c r="I154" s="554"/>
      <c r="J154" s="555"/>
      <c r="K154" s="519"/>
    </row>
    <row r="155" spans="1:11" ht="27" customHeight="1" x14ac:dyDescent="0.25">
      <c r="A155" s="544"/>
      <c r="B155" s="889" t="s">
        <v>717</v>
      </c>
      <c r="C155" s="573">
        <f>SUM(C147:C154)</f>
        <v>730703352</v>
      </c>
      <c r="D155" s="573">
        <f>SUM(D147:D154)</f>
        <v>25984804579.259773</v>
      </c>
      <c r="E155" s="573">
        <f>SUM(E147:E154)</f>
        <v>315450000</v>
      </c>
      <c r="F155" s="573">
        <f>SUM(F147:F154)</f>
        <v>4416049976</v>
      </c>
      <c r="G155" s="530">
        <f t="shared" si="6"/>
        <v>4731499976</v>
      </c>
      <c r="H155" s="531">
        <f t="shared" si="5"/>
        <v>30716304555.259773</v>
      </c>
      <c r="I155" s="554"/>
      <c r="J155" s="555"/>
      <c r="K155" s="569"/>
    </row>
    <row r="156" spans="1:11" ht="27" customHeight="1" x14ac:dyDescent="0.25">
      <c r="A156" s="544" t="s">
        <v>2247</v>
      </c>
      <c r="B156" s="513" t="s">
        <v>862</v>
      </c>
      <c r="C156" s="515">
        <v>145430231</v>
      </c>
      <c r="D156" s="515">
        <f>[6]Personnel!J136</f>
        <v>193015819.43172544</v>
      </c>
      <c r="E156" s="581">
        <f>[6]Overhead!J1028</f>
        <v>16200000</v>
      </c>
      <c r="F156" s="581">
        <f>[6]Overhead!J1027</f>
        <v>6000000</v>
      </c>
      <c r="G156" s="515">
        <f t="shared" si="6"/>
        <v>22200000</v>
      </c>
      <c r="H156" s="516">
        <f t="shared" si="5"/>
        <v>215215819.43172544</v>
      </c>
      <c r="I156" s="509"/>
      <c r="J156" s="510"/>
      <c r="K156" s="519"/>
    </row>
    <row r="157" spans="1:11" ht="27" customHeight="1" x14ac:dyDescent="0.25">
      <c r="A157" s="544" t="s">
        <v>863</v>
      </c>
      <c r="B157" s="513" t="s">
        <v>864</v>
      </c>
      <c r="C157" s="553"/>
      <c r="D157" s="583">
        <f>[6]Personnel!J138</f>
        <v>5793537359</v>
      </c>
      <c r="E157" s="583">
        <f>[6]Overhead!J1035</f>
        <v>24000000</v>
      </c>
      <c r="F157" s="566">
        <f>[6]Overhead!J1034</f>
        <v>167000000</v>
      </c>
      <c r="G157" s="515">
        <f t="shared" si="6"/>
        <v>191000000</v>
      </c>
      <c r="H157" s="516">
        <f t="shared" si="5"/>
        <v>5984537359</v>
      </c>
      <c r="I157" s="509"/>
      <c r="J157" s="510"/>
      <c r="K157" s="519"/>
    </row>
    <row r="158" spans="1:11" ht="27" customHeight="1" x14ac:dyDescent="0.25">
      <c r="A158" s="544" t="s">
        <v>865</v>
      </c>
      <c r="B158" s="513" t="s">
        <v>866</v>
      </c>
      <c r="C158" s="553"/>
      <c r="D158" s="583">
        <f>[6]Personnel!J140</f>
        <v>1159641588</v>
      </c>
      <c r="E158" s="583">
        <f>[6]Overhead!J1054</f>
        <v>12000000</v>
      </c>
      <c r="F158" s="566">
        <f>[6]Overhead!J1053</f>
        <v>25000000</v>
      </c>
      <c r="G158" s="515">
        <f t="shared" si="6"/>
        <v>37000000</v>
      </c>
      <c r="H158" s="516">
        <f t="shared" si="5"/>
        <v>1196641588</v>
      </c>
      <c r="I158" s="509"/>
      <c r="J158" s="510"/>
      <c r="K158" s="519"/>
    </row>
    <row r="159" spans="1:11" ht="27" customHeight="1" x14ac:dyDescent="0.25">
      <c r="A159" s="544" t="s">
        <v>867</v>
      </c>
      <c r="B159" s="513" t="s">
        <v>868</v>
      </c>
      <c r="C159" s="553"/>
      <c r="D159" s="583">
        <f>[6]Personnel!J142</f>
        <v>1376693764</v>
      </c>
      <c r="E159" s="583">
        <f>[6]Overhead!J1073</f>
        <v>12000000</v>
      </c>
      <c r="F159" s="583">
        <f>[6]Overhead!J1072</f>
        <v>25000000</v>
      </c>
      <c r="G159" s="515">
        <f t="shared" si="6"/>
        <v>37000000</v>
      </c>
      <c r="H159" s="516">
        <f t="shared" si="5"/>
        <v>1413693764</v>
      </c>
      <c r="I159" s="509"/>
      <c r="J159" s="510"/>
      <c r="K159" s="519"/>
    </row>
    <row r="160" spans="1:11" ht="27" customHeight="1" x14ac:dyDescent="0.25">
      <c r="A160" s="544" t="s">
        <v>869</v>
      </c>
      <c r="B160" s="513" t="s">
        <v>870</v>
      </c>
      <c r="C160" s="553"/>
      <c r="D160" s="583">
        <f>[6]Personnel!J144</f>
        <v>1242678515</v>
      </c>
      <c r="E160" s="583">
        <f>[6]Overhead!J1066</f>
        <v>12000000</v>
      </c>
      <c r="F160" s="583">
        <f>[6]Overhead!J1065</f>
        <v>25000000</v>
      </c>
      <c r="G160" s="515">
        <f t="shared" si="6"/>
        <v>37000000</v>
      </c>
      <c r="H160" s="516">
        <f t="shared" si="5"/>
        <v>1279678515</v>
      </c>
      <c r="I160" s="509"/>
      <c r="J160" s="510"/>
      <c r="K160" s="519"/>
    </row>
    <row r="161" spans="1:11" ht="27" customHeight="1" x14ac:dyDescent="0.25">
      <c r="A161" s="544" t="s">
        <v>871</v>
      </c>
      <c r="B161" s="513" t="s">
        <v>872</v>
      </c>
      <c r="C161" s="553"/>
      <c r="D161" s="583">
        <f>[6]Personnel!J146</f>
        <v>1960904556</v>
      </c>
      <c r="E161" s="583">
        <f>[6]Overhead!J1041</f>
        <v>12000000</v>
      </c>
      <c r="F161" s="581">
        <f>[6]Overhead!J1040</f>
        <v>25000000</v>
      </c>
      <c r="G161" s="515">
        <f t="shared" si="6"/>
        <v>37000000</v>
      </c>
      <c r="H161" s="516">
        <f t="shared" ref="H161:H182" si="7">D161+G161</f>
        <v>1997904556</v>
      </c>
      <c r="I161" s="509"/>
      <c r="J161" s="510"/>
      <c r="K161" s="519"/>
    </row>
    <row r="162" spans="1:11" ht="27" customHeight="1" x14ac:dyDescent="0.25">
      <c r="A162" s="544" t="s">
        <v>873</v>
      </c>
      <c r="B162" s="513" t="s">
        <v>874</v>
      </c>
      <c r="C162" s="553"/>
      <c r="D162" s="583">
        <f>[6]Personnel!J148</f>
        <v>2420381326</v>
      </c>
      <c r="E162" s="583">
        <f>[6]Overhead!J1048</f>
        <v>12000000</v>
      </c>
      <c r="F162" s="581">
        <f>[6]Overhead!J1047</f>
        <v>25000000</v>
      </c>
      <c r="G162" s="515">
        <f t="shared" ref="G162:G182" si="8">E162+F162</f>
        <v>37000000</v>
      </c>
      <c r="H162" s="516">
        <f t="shared" si="7"/>
        <v>2457381326</v>
      </c>
      <c r="I162" s="509"/>
      <c r="J162" s="510"/>
      <c r="K162" s="519"/>
    </row>
    <row r="163" spans="1:11" ht="27" customHeight="1" x14ac:dyDescent="0.25">
      <c r="A163" s="544" t="s">
        <v>875</v>
      </c>
      <c r="B163" s="513" t="s">
        <v>876</v>
      </c>
      <c r="C163" s="553"/>
      <c r="D163" s="583">
        <f>[6]Personnel!J150</f>
        <v>824752115</v>
      </c>
      <c r="E163" s="583">
        <f>[6]Overhead!J1060</f>
        <v>12000000</v>
      </c>
      <c r="F163" s="581">
        <f>[6]Overhead!J1059</f>
        <v>25000000</v>
      </c>
      <c r="G163" s="515">
        <f t="shared" si="8"/>
        <v>37000000</v>
      </c>
      <c r="H163" s="516">
        <f t="shared" si="7"/>
        <v>861752115</v>
      </c>
      <c r="I163" s="509"/>
      <c r="J163" s="510"/>
      <c r="K163" s="519"/>
    </row>
    <row r="164" spans="1:11" ht="27" customHeight="1" x14ac:dyDescent="0.25">
      <c r="A164" s="544" t="s">
        <v>877</v>
      </c>
      <c r="B164" s="513" t="s">
        <v>878</v>
      </c>
      <c r="C164" s="553"/>
      <c r="D164" s="566">
        <f>[6]Personnel!J153</f>
        <v>26366051</v>
      </c>
      <c r="E164" s="566">
        <f>[6]Overhead!J1085</f>
        <v>9000000</v>
      </c>
      <c r="F164" s="566">
        <f>[6]Overhead!J1082</f>
        <v>1057600000</v>
      </c>
      <c r="G164" s="515">
        <f t="shared" si="8"/>
        <v>1066600000</v>
      </c>
      <c r="H164" s="516">
        <f t="shared" si="7"/>
        <v>1092966051</v>
      </c>
      <c r="I164" s="509"/>
      <c r="J164" s="510"/>
      <c r="K164" s="519"/>
    </row>
    <row r="165" spans="1:11" ht="27" customHeight="1" x14ac:dyDescent="0.25">
      <c r="A165" s="544" t="s">
        <v>879</v>
      </c>
      <c r="B165" s="513" t="s">
        <v>880</v>
      </c>
      <c r="C165" s="553"/>
      <c r="D165" s="566">
        <f>[6]Personnel!J155</f>
        <v>181436401</v>
      </c>
      <c r="E165" s="566">
        <f>[6]Overhead!J1088</f>
        <v>5400000</v>
      </c>
      <c r="F165" s="566"/>
      <c r="G165" s="515">
        <f t="shared" si="8"/>
        <v>5400000</v>
      </c>
      <c r="H165" s="516">
        <f t="shared" si="7"/>
        <v>186836401</v>
      </c>
      <c r="I165" s="509"/>
      <c r="J165" s="510"/>
      <c r="K165" s="519"/>
    </row>
    <row r="166" spans="1:11" ht="27" customHeight="1" x14ac:dyDescent="0.25">
      <c r="A166" s="544"/>
      <c r="B166" s="889" t="s">
        <v>717</v>
      </c>
      <c r="C166" s="573">
        <f>SUM(C156:C165)</f>
        <v>145430231</v>
      </c>
      <c r="D166" s="573">
        <f>SUM(D156:D165)</f>
        <v>15179407494.431725</v>
      </c>
      <c r="E166" s="573">
        <f>SUM(E156:E165)</f>
        <v>126600000</v>
      </c>
      <c r="F166" s="573">
        <f>SUM(F156:F165)</f>
        <v>1380600000</v>
      </c>
      <c r="G166" s="530">
        <f t="shared" si="8"/>
        <v>1507200000</v>
      </c>
      <c r="H166" s="531">
        <f t="shared" si="7"/>
        <v>16686607494.431725</v>
      </c>
      <c r="I166" s="509"/>
      <c r="J166" s="510"/>
      <c r="K166" s="507"/>
    </row>
    <row r="167" spans="1:11" ht="79.5" customHeight="1" x14ac:dyDescent="0.25">
      <c r="A167" s="571"/>
      <c r="B167" s="542"/>
      <c r="C167" s="584"/>
      <c r="D167" s="524">
        <v>35</v>
      </c>
      <c r="E167" s="584"/>
      <c r="F167" s="542"/>
      <c r="G167" s="525"/>
      <c r="H167" s="526"/>
      <c r="I167" s="509"/>
      <c r="J167" s="510"/>
      <c r="K167" s="507"/>
    </row>
    <row r="168" spans="1:11" ht="27" customHeight="1" x14ac:dyDescent="0.25">
      <c r="A168" s="544" t="s">
        <v>2248</v>
      </c>
      <c r="B168" s="513" t="s">
        <v>881</v>
      </c>
      <c r="C168" s="515">
        <v>903520586</v>
      </c>
      <c r="D168" s="566">
        <f>[6]Personnel!J157</f>
        <v>1143295226.5665977</v>
      </c>
      <c r="E168" s="566">
        <f>[6]Overhead!J1098</f>
        <v>16800000</v>
      </c>
      <c r="F168" s="566">
        <f>[6]Overhead!J1097</f>
        <v>427000000</v>
      </c>
      <c r="G168" s="515">
        <f>E168+F168</f>
        <v>443800000</v>
      </c>
      <c r="H168" s="516">
        <f t="shared" si="7"/>
        <v>1587095226.5665977</v>
      </c>
      <c r="I168" s="509"/>
      <c r="J168" s="510"/>
      <c r="K168" s="519"/>
    </row>
    <row r="169" spans="1:11" ht="27" customHeight="1" x14ac:dyDescent="0.25">
      <c r="A169" s="544" t="s">
        <v>882</v>
      </c>
      <c r="B169" s="513" t="s">
        <v>557</v>
      </c>
      <c r="C169" s="575"/>
      <c r="D169" s="566">
        <f>[6]Personnel!J159</f>
        <v>9216668884</v>
      </c>
      <c r="E169" s="566">
        <f>[6]Overhead!J1102</f>
        <v>32400000</v>
      </c>
      <c r="F169" s="566">
        <f>[6]Overhead!J1101</f>
        <v>75000000</v>
      </c>
      <c r="G169" s="515">
        <f t="shared" si="8"/>
        <v>107400000</v>
      </c>
      <c r="H169" s="516">
        <f t="shared" si="7"/>
        <v>9324068884</v>
      </c>
      <c r="I169" s="509"/>
      <c r="J169" s="510"/>
      <c r="K169" s="519"/>
    </row>
    <row r="170" spans="1:11" ht="27" customHeight="1" x14ac:dyDescent="0.25">
      <c r="A170" s="544" t="s">
        <v>883</v>
      </c>
      <c r="B170" s="513" t="s">
        <v>884</v>
      </c>
      <c r="C170" s="575"/>
      <c r="D170" s="575"/>
      <c r="E170" s="566">
        <f>[6]Overhead!J1105</f>
        <v>8600000</v>
      </c>
      <c r="F170" s="566"/>
      <c r="G170" s="515">
        <f t="shared" si="8"/>
        <v>8600000</v>
      </c>
      <c r="H170" s="516">
        <f t="shared" si="7"/>
        <v>8600000</v>
      </c>
      <c r="I170" s="509"/>
      <c r="J170" s="510"/>
      <c r="K170" s="507"/>
    </row>
    <row r="171" spans="1:11" ht="27" customHeight="1" x14ac:dyDescent="0.25">
      <c r="A171" s="544" t="s">
        <v>885</v>
      </c>
      <c r="B171" s="513" t="s">
        <v>886</v>
      </c>
      <c r="C171" s="575"/>
      <c r="D171" s="575"/>
      <c r="E171" s="566">
        <f>[6]Overhead!J1107</f>
        <v>1200000</v>
      </c>
      <c r="F171" s="566"/>
      <c r="G171" s="515">
        <f t="shared" si="8"/>
        <v>1200000</v>
      </c>
      <c r="H171" s="516">
        <f t="shared" si="7"/>
        <v>1200000</v>
      </c>
      <c r="I171" s="509"/>
      <c r="J171" s="510"/>
      <c r="K171" s="507"/>
    </row>
    <row r="172" spans="1:11" ht="27" customHeight="1" x14ac:dyDescent="0.25">
      <c r="A172" s="544" t="s">
        <v>887</v>
      </c>
      <c r="B172" s="513" t="s">
        <v>888</v>
      </c>
      <c r="C172" s="575"/>
      <c r="D172" s="575"/>
      <c r="E172" s="566">
        <f>[6]Overhead!J1109</f>
        <v>1200000</v>
      </c>
      <c r="F172" s="566"/>
      <c r="G172" s="515">
        <f t="shared" si="8"/>
        <v>1200000</v>
      </c>
      <c r="H172" s="516">
        <f t="shared" si="7"/>
        <v>1200000</v>
      </c>
      <c r="I172" s="509"/>
      <c r="J172" s="510"/>
      <c r="K172" s="507"/>
    </row>
    <row r="173" spans="1:11" ht="27" customHeight="1" x14ac:dyDescent="0.25">
      <c r="A173" s="544" t="s">
        <v>889</v>
      </c>
      <c r="B173" s="513" t="s">
        <v>890</v>
      </c>
      <c r="C173" s="575"/>
      <c r="D173" s="575"/>
      <c r="E173" s="566">
        <f>[6]Overhead!J1111</f>
        <v>1200000</v>
      </c>
      <c r="F173" s="566"/>
      <c r="G173" s="515">
        <f t="shared" si="8"/>
        <v>1200000</v>
      </c>
      <c r="H173" s="516">
        <f t="shared" si="7"/>
        <v>1200000</v>
      </c>
      <c r="I173" s="509"/>
      <c r="J173" s="510"/>
      <c r="K173" s="507"/>
    </row>
    <row r="174" spans="1:11" ht="27" customHeight="1" x14ac:dyDescent="0.25">
      <c r="A174" s="544" t="s">
        <v>891</v>
      </c>
      <c r="B174" s="513" t="s">
        <v>892</v>
      </c>
      <c r="C174" s="575"/>
      <c r="D174" s="575"/>
      <c r="E174" s="566">
        <f>[6]Overhead!J1115</f>
        <v>1080000</v>
      </c>
      <c r="F174" s="566"/>
      <c r="G174" s="515">
        <f t="shared" si="8"/>
        <v>1080000</v>
      </c>
      <c r="H174" s="516">
        <f t="shared" si="7"/>
        <v>1080000</v>
      </c>
      <c r="I174" s="509"/>
      <c r="J174" s="510"/>
      <c r="K174" s="507"/>
    </row>
    <row r="175" spans="1:11" ht="27" customHeight="1" x14ac:dyDescent="0.25">
      <c r="A175" s="544" t="s">
        <v>893</v>
      </c>
      <c r="B175" s="513" t="s">
        <v>894</v>
      </c>
      <c r="C175" s="529"/>
      <c r="D175" s="529"/>
      <c r="E175" s="566">
        <f>[6]Overhead!J1115</f>
        <v>1080000</v>
      </c>
      <c r="F175" s="566"/>
      <c r="G175" s="515">
        <f t="shared" si="8"/>
        <v>1080000</v>
      </c>
      <c r="H175" s="516">
        <f t="shared" si="7"/>
        <v>1080000</v>
      </c>
      <c r="I175" s="559"/>
      <c r="J175" s="518"/>
      <c r="K175" s="519"/>
    </row>
    <row r="176" spans="1:11" ht="39" customHeight="1" x14ac:dyDescent="0.25">
      <c r="A176" s="544" t="s">
        <v>895</v>
      </c>
      <c r="B176" s="513" t="s">
        <v>896</v>
      </c>
      <c r="C176" s="529"/>
      <c r="D176" s="566">
        <f>[6]Personnel!J161</f>
        <v>180000000</v>
      </c>
      <c r="E176" s="566">
        <f>[6]Overhead!J1130</f>
        <v>18000000</v>
      </c>
      <c r="F176" s="566">
        <f>[6]Overhead!J1129</f>
        <v>108000000</v>
      </c>
      <c r="G176" s="515">
        <f t="shared" si="8"/>
        <v>126000000</v>
      </c>
      <c r="H176" s="516">
        <f t="shared" si="7"/>
        <v>306000000</v>
      </c>
      <c r="I176" s="559"/>
      <c r="J176" s="518"/>
      <c r="K176" s="519"/>
    </row>
    <row r="177" spans="1:12" ht="43.5" customHeight="1" x14ac:dyDescent="0.25">
      <c r="A177" s="544" t="s">
        <v>897</v>
      </c>
      <c r="B177" s="513" t="s">
        <v>898</v>
      </c>
      <c r="C177" s="529"/>
      <c r="D177" s="529"/>
      <c r="E177" s="539"/>
      <c r="F177" s="566">
        <f>[6]Overhead!J1117</f>
        <v>18400000</v>
      </c>
      <c r="G177" s="515">
        <f t="shared" si="8"/>
        <v>18400000</v>
      </c>
      <c r="H177" s="516">
        <f t="shared" si="7"/>
        <v>18400000</v>
      </c>
      <c r="I177" s="559"/>
      <c r="J177" s="518"/>
      <c r="K177" s="519"/>
    </row>
    <row r="178" spans="1:12" ht="27" customHeight="1" x14ac:dyDescent="0.25">
      <c r="A178" s="544" t="s">
        <v>899</v>
      </c>
      <c r="B178" s="513" t="s">
        <v>900</v>
      </c>
      <c r="C178" s="529"/>
      <c r="D178" s="529"/>
      <c r="E178" s="537"/>
      <c r="F178" s="566">
        <f>[6]Overhead!J1133</f>
        <v>10000000</v>
      </c>
      <c r="G178" s="515">
        <f t="shared" si="8"/>
        <v>10000000</v>
      </c>
      <c r="H178" s="516">
        <f t="shared" si="7"/>
        <v>10000000</v>
      </c>
      <c r="I178" s="559"/>
      <c r="J178" s="518"/>
      <c r="K178" s="519"/>
    </row>
    <row r="179" spans="1:12" ht="27" customHeight="1" x14ac:dyDescent="0.25">
      <c r="A179" s="544" t="s">
        <v>2249</v>
      </c>
      <c r="B179" s="513" t="s">
        <v>901</v>
      </c>
      <c r="C179" s="529"/>
      <c r="D179" s="566">
        <f>[6]Personnel!J163</f>
        <v>3183601036</v>
      </c>
      <c r="E179" s="537"/>
      <c r="F179" s="566"/>
      <c r="G179" s="515">
        <f t="shared" si="8"/>
        <v>0</v>
      </c>
      <c r="H179" s="516">
        <f t="shared" si="7"/>
        <v>3183601036</v>
      </c>
      <c r="I179" s="559"/>
      <c r="J179" s="518"/>
      <c r="K179" s="519"/>
    </row>
    <row r="180" spans="1:12" ht="27" customHeight="1" x14ac:dyDescent="0.25">
      <c r="A180" s="544"/>
      <c r="B180" s="889" t="s">
        <v>717</v>
      </c>
      <c r="C180" s="546">
        <f>SUM(C168:C179)</f>
        <v>903520586</v>
      </c>
      <c r="D180" s="546">
        <f>SUM(D168:D179)</f>
        <v>13723565146.566597</v>
      </c>
      <c r="E180" s="546">
        <f>SUM(E168:E179)</f>
        <v>81560000</v>
      </c>
      <c r="F180" s="546">
        <f>SUM(F168:F179)</f>
        <v>638400000</v>
      </c>
      <c r="G180" s="530">
        <f t="shared" si="8"/>
        <v>719960000</v>
      </c>
      <c r="H180" s="531">
        <f t="shared" si="7"/>
        <v>14443525146.566597</v>
      </c>
      <c r="I180" s="559"/>
      <c r="J180" s="518"/>
      <c r="K180" s="519"/>
    </row>
    <row r="181" spans="1:12" ht="45" customHeight="1" x14ac:dyDescent="0.25">
      <c r="A181" s="544" t="s">
        <v>2250</v>
      </c>
      <c r="B181" s="513" t="s">
        <v>902</v>
      </c>
      <c r="C181" s="515">
        <v>216125147.08000001</v>
      </c>
      <c r="D181" s="515">
        <f>[6]Personnel!J165</f>
        <v>264662471</v>
      </c>
      <c r="E181" s="566">
        <f>[6]Overhead!J1169</f>
        <v>13800000</v>
      </c>
      <c r="F181" s="515">
        <f>[6]Overhead!J1168</f>
        <v>234100000</v>
      </c>
      <c r="G181" s="515">
        <f t="shared" si="8"/>
        <v>247900000</v>
      </c>
      <c r="H181" s="516">
        <f t="shared" si="7"/>
        <v>512562471</v>
      </c>
      <c r="I181" s="559"/>
      <c r="J181" s="518"/>
      <c r="K181" s="519"/>
    </row>
    <row r="182" spans="1:12" ht="34.5" customHeight="1" x14ac:dyDescent="0.25">
      <c r="A182" s="544" t="s">
        <v>2246</v>
      </c>
      <c r="B182" s="513" t="s">
        <v>903</v>
      </c>
      <c r="C182" s="515"/>
      <c r="D182" s="515"/>
      <c r="E182" s="566">
        <f>[6]Overhead!J1173</f>
        <v>33000000</v>
      </c>
      <c r="F182" s="515">
        <f>[6]Overhead!J1172</f>
        <v>100000000</v>
      </c>
      <c r="G182" s="515">
        <f t="shared" si="8"/>
        <v>133000000</v>
      </c>
      <c r="H182" s="516">
        <f t="shared" si="7"/>
        <v>133000000</v>
      </c>
      <c r="I182" s="559"/>
      <c r="J182" s="518"/>
      <c r="K182" s="519"/>
    </row>
    <row r="183" spans="1:12" ht="52.5" customHeight="1" x14ac:dyDescent="0.25">
      <c r="A183" s="969" t="s">
        <v>904</v>
      </c>
      <c r="B183" s="969"/>
      <c r="C183" s="530">
        <f>SUM(C138,C139,C140,C141:C143,C146,C147:C154,C156:C165,C168:C179,C181,C182)</f>
        <v>3505832711.5599999</v>
      </c>
      <c r="D183" s="530">
        <f>SUM(D138,D139,D140,D141:D143,D146,D147:D154,D156:D165,D168:D179,D181,D182)</f>
        <v>57048759792.258095</v>
      </c>
      <c r="E183" s="530">
        <f>SUM(E138,E139,E140,E141:E143,E146,E147:E154,E156:E165,E168:E179,E181,E182)</f>
        <v>654210000</v>
      </c>
      <c r="F183" s="530">
        <f>SUM(F138,F139,F140,F141:F143,F146,F147:F154,F156:F165,F168:F179,F181,F182)</f>
        <v>8037324976</v>
      </c>
      <c r="G183" s="530">
        <f>SUM(G138,G139,G140,G141:G143,G146,G147:G154,G156:G165,G168:G179,G181,G182)</f>
        <v>8691534976</v>
      </c>
      <c r="H183" s="531">
        <f>D183+G183</f>
        <v>65740294768.258095</v>
      </c>
      <c r="I183" s="962"/>
    </row>
    <row r="184" spans="1:12" ht="30" customHeight="1" x14ac:dyDescent="0.25">
      <c r="A184" s="969" t="s">
        <v>905</v>
      </c>
      <c r="B184" s="969"/>
      <c r="C184" s="585">
        <f>[6]Personnel!I168+[6]Overhead!I1176</f>
        <v>119780539006.84</v>
      </c>
      <c r="D184" s="585">
        <f>[6]Personnel!J168</f>
        <v>83959405755</v>
      </c>
      <c r="E184" s="585">
        <f>SUM(E78,E123,E131,E136,E183)</f>
        <v>4382470816</v>
      </c>
      <c r="F184" s="585">
        <f>SUM(F78,F123,F131,F136,F183)</f>
        <v>55838580553</v>
      </c>
      <c r="G184" s="585">
        <f>[6]Overhead!J1176</f>
        <v>60221051369</v>
      </c>
      <c r="H184" s="531">
        <f>D184+G184</f>
        <v>144180457124</v>
      </c>
      <c r="K184" s="519"/>
      <c r="L184" s="589"/>
    </row>
    <row r="185" spans="1:12" ht="90" customHeight="1" x14ac:dyDescent="0.25">
      <c r="A185" s="542"/>
      <c r="B185" s="542"/>
      <c r="C185" s="586"/>
      <c r="D185" s="524">
        <v>36</v>
      </c>
      <c r="E185" s="586"/>
      <c r="F185" s="586"/>
      <c r="G185" s="586"/>
      <c r="H185" s="587"/>
      <c r="J185" s="588"/>
      <c r="K185" s="519"/>
      <c r="L185" s="589"/>
    </row>
    <row r="186" spans="1:12" ht="35.25" customHeight="1" x14ac:dyDescent="0.25">
      <c r="A186" s="544"/>
      <c r="B186" s="889" t="s">
        <v>906</v>
      </c>
      <c r="C186" s="889"/>
      <c r="D186" s="590"/>
      <c r="E186" s="889"/>
      <c r="F186" s="889"/>
      <c r="G186" s="590"/>
      <c r="H186" s="590"/>
      <c r="K186" s="519"/>
    </row>
    <row r="187" spans="1:12" ht="30" customHeight="1" x14ac:dyDescent="0.25">
      <c r="A187" s="544" t="s">
        <v>2251</v>
      </c>
      <c r="B187" s="591" t="s">
        <v>816</v>
      </c>
      <c r="C187" s="590"/>
      <c r="D187" s="590"/>
      <c r="E187" s="590"/>
      <c r="F187" s="590"/>
      <c r="G187" s="590"/>
      <c r="H187" s="590"/>
      <c r="K187" s="574"/>
      <c r="L187" s="589"/>
    </row>
    <row r="188" spans="1:12" ht="30" customHeight="1" x14ac:dyDescent="0.25">
      <c r="A188" s="544"/>
      <c r="B188" s="513" t="s">
        <v>26</v>
      </c>
      <c r="C188" s="515">
        <f>[6]Personnel!I181</f>
        <v>428734771.15999997</v>
      </c>
      <c r="D188" s="592">
        <f>[6]Personnel!J181</f>
        <v>467230931.99999994</v>
      </c>
      <c r="E188" s="515"/>
      <c r="F188" s="537"/>
      <c r="G188" s="515">
        <f t="shared" ref="G188:G194" si="9">E188+F188</f>
        <v>0</v>
      </c>
      <c r="H188" s="516">
        <f t="shared" ref="H188:H195" si="10">D188+G188</f>
        <v>467230931.99999994</v>
      </c>
      <c r="K188" s="519"/>
    </row>
    <row r="189" spans="1:12" ht="30" customHeight="1" x14ac:dyDescent="0.25">
      <c r="A189" s="544"/>
      <c r="B189" s="513" t="s">
        <v>27</v>
      </c>
      <c r="C189" s="515">
        <f>[6]Personnel!I185</f>
        <v>7800000000</v>
      </c>
      <c r="D189" s="515">
        <f>[6]Personnel!J185</f>
        <v>7800000000</v>
      </c>
      <c r="E189" s="515"/>
      <c r="F189" s="537"/>
      <c r="G189" s="515">
        <f t="shared" si="9"/>
        <v>0</v>
      </c>
      <c r="H189" s="516">
        <f t="shared" si="10"/>
        <v>7800000000</v>
      </c>
      <c r="K189" s="519"/>
    </row>
    <row r="190" spans="1:12" ht="30" customHeight="1" x14ac:dyDescent="0.25">
      <c r="A190" s="544"/>
      <c r="B190" s="513" t="s">
        <v>28</v>
      </c>
      <c r="C190" s="515">
        <f>[6]Personnel!I189</f>
        <v>5008000000</v>
      </c>
      <c r="D190" s="515">
        <f>[6]Personnel!J189</f>
        <v>5008000000</v>
      </c>
      <c r="E190" s="515"/>
      <c r="F190" s="537"/>
      <c r="G190" s="515">
        <f t="shared" si="9"/>
        <v>0</v>
      </c>
      <c r="H190" s="516">
        <f t="shared" si="10"/>
        <v>5008000000</v>
      </c>
      <c r="K190" s="519"/>
    </row>
    <row r="191" spans="1:12" ht="30" customHeight="1" x14ac:dyDescent="0.25">
      <c r="A191" s="544"/>
      <c r="B191" s="345" t="s">
        <v>29</v>
      </c>
      <c r="C191" s="515">
        <f>[6]Personnel!I192</f>
        <v>0</v>
      </c>
      <c r="D191" s="515" t="e">
        <f>[6]Personnel!J192</f>
        <v>#REF!</v>
      </c>
      <c r="E191" s="515"/>
      <c r="F191" s="537"/>
      <c r="G191" s="515">
        <f t="shared" si="9"/>
        <v>0</v>
      </c>
      <c r="H191" s="516" t="e">
        <f t="shared" si="10"/>
        <v>#REF!</v>
      </c>
      <c r="K191" s="519"/>
    </row>
    <row r="192" spans="1:12" ht="30" customHeight="1" x14ac:dyDescent="0.25">
      <c r="A192" s="544"/>
      <c r="B192" s="345" t="s">
        <v>30</v>
      </c>
      <c r="C192" s="515">
        <f>[6]Personnel!I193</f>
        <v>16658755475</v>
      </c>
      <c r="D192" s="515">
        <f>[6]Personnel!J193</f>
        <v>6667696258.5599995</v>
      </c>
      <c r="E192" s="515"/>
      <c r="F192" s="537"/>
      <c r="G192" s="515">
        <f t="shared" si="9"/>
        <v>0</v>
      </c>
      <c r="H192" s="516">
        <f t="shared" si="10"/>
        <v>6667696258.5599995</v>
      </c>
      <c r="K192" s="519"/>
    </row>
    <row r="193" spans="1:11" ht="30" customHeight="1" x14ac:dyDescent="0.25">
      <c r="A193" s="544"/>
      <c r="B193" s="345" t="s">
        <v>907</v>
      </c>
      <c r="C193" s="515">
        <f>[6]Personnel!I194</f>
        <v>300000000</v>
      </c>
      <c r="D193" s="515">
        <f>[6]Personnel!J194</f>
        <v>300000000</v>
      </c>
      <c r="E193" s="515"/>
      <c r="F193" s="537"/>
      <c r="G193" s="515">
        <f t="shared" si="9"/>
        <v>0</v>
      </c>
      <c r="H193" s="516">
        <f t="shared" si="10"/>
        <v>300000000</v>
      </c>
      <c r="K193" s="519"/>
    </row>
    <row r="194" spans="1:11" s="532" customFormat="1" ht="30" customHeight="1" x14ac:dyDescent="0.25">
      <c r="A194" s="544"/>
      <c r="B194" s="345" t="s">
        <v>32</v>
      </c>
      <c r="C194" s="515">
        <f>[6]Personnel!I196+[6]Personnel!I197+[6]Personnel!I198</f>
        <v>7120000000</v>
      </c>
      <c r="D194" s="515">
        <f>[6]Personnel!J196+[6]Personnel!J197+[6]Personnel!J198</f>
        <v>7126000000</v>
      </c>
      <c r="E194" s="515"/>
      <c r="F194" s="537"/>
      <c r="G194" s="515">
        <f t="shared" si="9"/>
        <v>0</v>
      </c>
      <c r="H194" s="516">
        <f t="shared" si="10"/>
        <v>7126000000</v>
      </c>
      <c r="I194" s="567"/>
      <c r="J194" s="568"/>
      <c r="K194" s="519"/>
    </row>
    <row r="195" spans="1:11" s="532" customFormat="1" ht="49.5" customHeight="1" x14ac:dyDescent="0.25">
      <c r="A195" s="528"/>
      <c r="B195" s="889" t="s">
        <v>908</v>
      </c>
      <c r="C195" s="593">
        <f>SUM(C188:C194)</f>
        <v>37315490246.160004</v>
      </c>
      <c r="D195" s="593" t="e">
        <f>SUM(D188:D194)</f>
        <v>#REF!</v>
      </c>
      <c r="E195" s="547">
        <f>SUM(E188:E194)</f>
        <v>0</v>
      </c>
      <c r="F195" s="547">
        <f>SUM(F188:F194)</f>
        <v>0</v>
      </c>
      <c r="G195" s="547">
        <f>SUM(G188:G194)</f>
        <v>0</v>
      </c>
      <c r="H195" s="593" t="e">
        <f t="shared" si="10"/>
        <v>#REF!</v>
      </c>
      <c r="I195" s="567"/>
      <c r="J195" s="588"/>
      <c r="K195" s="960"/>
    </row>
    <row r="196" spans="1:11" s="532" customFormat="1" ht="30" customHeight="1" x14ac:dyDescent="0.25">
      <c r="A196" s="528"/>
      <c r="B196" s="889" t="s">
        <v>33</v>
      </c>
      <c r="C196" s="593">
        <f>SUM(C184,C195)</f>
        <v>157096029253</v>
      </c>
      <c r="D196" s="540"/>
      <c r="E196" s="540"/>
      <c r="F196" s="540"/>
      <c r="G196" s="540"/>
      <c r="H196" s="593" t="e">
        <f>SUM(H184,H195)</f>
        <v>#REF!</v>
      </c>
      <c r="I196" s="567"/>
      <c r="J196" s="588"/>
      <c r="K196" s="960"/>
    </row>
    <row r="197" spans="1:11" s="532" customFormat="1" ht="85.5" customHeight="1" x14ac:dyDescent="0.25">
      <c r="A197" s="594"/>
      <c r="B197" s="595"/>
      <c r="C197" s="594"/>
      <c r="D197" s="524">
        <v>37</v>
      </c>
      <c r="E197" s="594"/>
      <c r="F197" s="594"/>
      <c r="G197" s="594"/>
      <c r="H197" s="594"/>
      <c r="I197" s="567"/>
      <c r="J197" s="588"/>
      <c r="K197" s="960"/>
    </row>
    <row r="198" spans="1:11" s="532" customFormat="1" ht="30" customHeight="1" x14ac:dyDescent="0.25">
      <c r="A198" s="594"/>
      <c r="B198" s="595"/>
      <c r="C198" s="594"/>
      <c r="D198" s="594"/>
      <c r="E198" s="594"/>
      <c r="F198" s="594"/>
      <c r="G198" s="594"/>
      <c r="H198" s="596"/>
      <c r="I198" s="567"/>
      <c r="J198" s="568"/>
      <c r="K198" s="960"/>
    </row>
  </sheetData>
  <mergeCells count="6">
    <mergeCell ref="A184:B184"/>
    <mergeCell ref="A78:B78"/>
    <mergeCell ref="A123:B123"/>
    <mergeCell ref="A131:B131"/>
    <mergeCell ref="A136:B136"/>
    <mergeCell ref="A183:B183"/>
  </mergeCells>
  <phoneticPr fontId="74" type="noConversion"/>
  <conditionalFormatting sqref="K134 K94:K95 K97:K98 K101:K102">
    <cfRule type="expression" dxfId="521" priority="21">
      <formula>$N94=2</formula>
    </cfRule>
    <cfRule type="expression" dxfId="520" priority="22">
      <formula>$N94=1</formula>
    </cfRule>
  </conditionalFormatting>
  <conditionalFormatting sqref="K98 K101:K102">
    <cfRule type="expression" dxfId="519" priority="19">
      <formula>$N89=2</formula>
    </cfRule>
    <cfRule type="expression" dxfId="518" priority="20">
      <formula>$N89=1</formula>
    </cfRule>
  </conditionalFormatting>
  <conditionalFormatting sqref="K110:K111">
    <cfRule type="expression" dxfId="517" priority="17">
      <formula>#REF!=2</formula>
    </cfRule>
    <cfRule type="expression" dxfId="516" priority="18">
      <formula>#REF!=1</formula>
    </cfRule>
  </conditionalFormatting>
  <conditionalFormatting sqref="K110">
    <cfRule type="expression" dxfId="515" priority="15">
      <formula>$N110=2</formula>
    </cfRule>
    <cfRule type="expression" dxfId="514" priority="16">
      <formula>$N110=1</formula>
    </cfRule>
  </conditionalFormatting>
  <conditionalFormatting sqref="K131:K137 K122 K120 K94:K95 K110:K111 K97">
    <cfRule type="expression" dxfId="513" priority="13">
      <formula>#REF!=2</formula>
    </cfRule>
    <cfRule type="expression" dxfId="512" priority="14">
      <formula>#REF!=1</formula>
    </cfRule>
  </conditionalFormatting>
  <conditionalFormatting sqref="K111">
    <cfRule type="expression" dxfId="511" priority="11">
      <formula>$N111=2</formula>
    </cfRule>
    <cfRule type="expression" dxfId="510" priority="12">
      <formula>$N111=1</formula>
    </cfRule>
  </conditionalFormatting>
  <conditionalFormatting sqref="K120 K122">
    <cfRule type="expression" dxfId="509" priority="9">
      <formula>$N120=2</formula>
    </cfRule>
    <cfRule type="expression" dxfId="508" priority="10">
      <formula>$N120=1</formula>
    </cfRule>
  </conditionalFormatting>
  <conditionalFormatting sqref="K131:K133">
    <cfRule type="expression" dxfId="507" priority="7">
      <formula>$N131=2</formula>
    </cfRule>
    <cfRule type="expression" dxfId="506" priority="8">
      <formula>$N131=1</formula>
    </cfRule>
  </conditionalFormatting>
  <conditionalFormatting sqref="K135:K137">
    <cfRule type="expression" dxfId="505" priority="5">
      <formula>$N135=2</formula>
    </cfRule>
    <cfRule type="expression" dxfId="504" priority="6">
      <formula>$N135=1</formula>
    </cfRule>
  </conditionalFormatting>
  <conditionalFormatting sqref="B187">
    <cfRule type="expression" dxfId="503" priority="3">
      <formula>$Q187=2</formula>
    </cfRule>
    <cfRule type="expression" dxfId="502" priority="4">
      <formula>$Q187=1</formula>
    </cfRule>
  </conditionalFormatting>
  <conditionalFormatting sqref="B191:B194">
    <cfRule type="expression" dxfId="501" priority="1">
      <formula>$P191=2</formula>
    </cfRule>
    <cfRule type="expression" dxfId="500" priority="2">
      <formula>$P191=1</formula>
    </cfRule>
  </conditionalFormatting>
  <dataValidations disablePrompts="1" count="2">
    <dataValidation type="list" allowBlank="1" showInputMessage="1" showErrorMessage="1" sqref="K144:K145" xr:uid="{00000000-0002-0000-0300-000000000000}">
      <formula1>INDIRECT(#REF!)</formula1>
    </dataValidation>
    <dataValidation type="list" allowBlank="1" showInputMessage="1" showErrorMessage="1" sqref="K84" xr:uid="{00000000-0002-0000-0300-000001000000}">
      <formula1>INDIRECT($T84)</formula1>
    </dataValidation>
  </dataValidations>
  <pageMargins left="1" right="0.5" top="1.0900000000000001" bottom="0.5" header="0.51" footer="0.25"/>
  <pageSetup paperSize="9" scale="61" orientation="landscape" r:id="rId1"/>
  <headerFooter>
    <oddHeader>&amp;C&amp;"Arial,Bold"&amp;14DELTA STATE GOVERNMENT OF NIGERIA
YEAR 2020 SUMMARY OF RECURRENT EXPENDITURE BY SECTOR</oddHeader>
  </headerFooter>
  <rowBreaks count="9" manualBreakCount="9">
    <brk id="18" max="7" man="1"/>
    <brk id="38" max="7" man="1"/>
    <brk id="62" max="7" man="1"/>
    <brk id="79" max="7" man="1"/>
    <brk id="102" max="7" man="1"/>
    <brk id="124" max="7" man="1"/>
    <brk id="145" max="7" man="1"/>
    <brk id="167" max="7" man="1"/>
    <brk id="18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A200"/>
  <sheetViews>
    <sheetView showGridLines="0" view="pageBreakPreview" zoomScale="80" zoomScaleNormal="90" zoomScaleSheetLayoutView="80" zoomScalePageLayoutView="70" workbookViewId="0">
      <selection activeCell="I1" sqref="I1:AN1048576"/>
    </sheetView>
  </sheetViews>
  <sheetFormatPr defaultRowHeight="30" customHeight="1" x14ac:dyDescent="0.25"/>
  <cols>
    <col min="1" max="1" width="16.7109375" style="422" customWidth="1"/>
    <col min="2" max="2" width="81.85546875" style="422" customWidth="1"/>
    <col min="3" max="3" width="11.42578125" style="422" customWidth="1"/>
    <col min="4" max="4" width="16.85546875" style="422" customWidth="1"/>
    <col min="5" max="5" width="14" style="422" customWidth="1"/>
    <col min="6" max="6" width="20.7109375" style="422" hidden="1" customWidth="1"/>
    <col min="7" max="7" width="28.140625" style="422" customWidth="1"/>
    <col min="8" max="8" width="29.5703125" style="377" customWidth="1"/>
    <col min="9" max="9" width="22.7109375" style="348" customWidth="1"/>
    <col min="10" max="10" width="23.140625" style="349" customWidth="1"/>
    <col min="11" max="16384" width="9.140625" style="350"/>
  </cols>
  <sheetData>
    <row r="1" spans="1:10" ht="45.75" customHeight="1" x14ac:dyDescent="0.25">
      <c r="A1" s="346" t="s">
        <v>909</v>
      </c>
      <c r="B1" s="346" t="s">
        <v>910</v>
      </c>
      <c r="C1" s="347" t="s">
        <v>911</v>
      </c>
      <c r="D1" s="347" t="s">
        <v>912</v>
      </c>
      <c r="E1" s="346" t="s">
        <v>89</v>
      </c>
      <c r="F1" s="346" t="s">
        <v>90</v>
      </c>
      <c r="G1" s="346" t="s">
        <v>913</v>
      </c>
      <c r="H1" s="346" t="s">
        <v>2073</v>
      </c>
    </row>
    <row r="2" spans="1:10" ht="21" customHeight="1" x14ac:dyDescent="0.25">
      <c r="A2" s="351"/>
      <c r="B2" s="403" t="s">
        <v>914</v>
      </c>
      <c r="C2" s="352"/>
      <c r="D2" s="352"/>
      <c r="E2" s="351"/>
      <c r="F2" s="351"/>
      <c r="G2" s="351"/>
      <c r="H2" s="351"/>
    </row>
    <row r="3" spans="1:10" ht="21" customHeight="1" x14ac:dyDescent="0.25">
      <c r="A3" s="353"/>
      <c r="B3" s="354" t="s">
        <v>915</v>
      </c>
      <c r="C3" s="352"/>
      <c r="D3" s="352"/>
      <c r="E3" s="351"/>
      <c r="F3" s="351"/>
      <c r="G3" s="351"/>
      <c r="H3" s="351"/>
    </row>
    <row r="4" spans="1:10" ht="21" customHeight="1" x14ac:dyDescent="0.25">
      <c r="A4" s="355">
        <v>21010100</v>
      </c>
      <c r="B4" s="356" t="s">
        <v>916</v>
      </c>
      <c r="C4" s="357" t="s">
        <v>92</v>
      </c>
      <c r="D4" s="358" t="s">
        <v>917</v>
      </c>
      <c r="E4" s="358">
        <v>70111</v>
      </c>
      <c r="F4" s="359" t="s">
        <v>918</v>
      </c>
      <c r="G4" s="360">
        <v>1002476983</v>
      </c>
      <c r="H4" s="360">
        <v>1088344179</v>
      </c>
    </row>
    <row r="5" spans="1:10" s="363" customFormat="1" ht="21" customHeight="1" x14ac:dyDescent="0.25">
      <c r="A5" s="355"/>
      <c r="B5" s="354" t="s">
        <v>919</v>
      </c>
      <c r="C5" s="361"/>
      <c r="D5" s="354"/>
      <c r="E5" s="881"/>
      <c r="F5" s="354"/>
      <c r="G5" s="360"/>
      <c r="H5" s="354"/>
      <c r="I5" s="344"/>
      <c r="J5" s="362"/>
    </row>
    <row r="6" spans="1:10" ht="21" customHeight="1" x14ac:dyDescent="0.25">
      <c r="A6" s="355">
        <v>21010100</v>
      </c>
      <c r="B6" s="356" t="s">
        <v>916</v>
      </c>
      <c r="C6" s="357" t="s">
        <v>92</v>
      </c>
      <c r="D6" s="358" t="s">
        <v>920</v>
      </c>
      <c r="E6" s="358">
        <v>70111</v>
      </c>
      <c r="F6" s="359" t="s">
        <v>918</v>
      </c>
      <c r="G6" s="360">
        <v>2706518701</v>
      </c>
      <c r="H6" s="360">
        <f>1588572283+2011427717-133000000-125000000</f>
        <v>3342000000</v>
      </c>
      <c r="J6" s="348"/>
    </row>
    <row r="7" spans="1:10" ht="21" customHeight="1" x14ac:dyDescent="0.25">
      <c r="A7" s="355"/>
      <c r="B7" s="354" t="s">
        <v>921</v>
      </c>
      <c r="C7" s="355"/>
      <c r="D7" s="354"/>
      <c r="E7" s="881"/>
      <c r="F7" s="354"/>
      <c r="G7" s="360"/>
      <c r="H7" s="354"/>
    </row>
    <row r="8" spans="1:10" ht="21" customHeight="1" x14ac:dyDescent="0.25">
      <c r="A8" s="355">
        <v>21010100</v>
      </c>
      <c r="B8" s="356" t="s">
        <v>916</v>
      </c>
      <c r="C8" s="357" t="s">
        <v>92</v>
      </c>
      <c r="D8" s="358" t="s">
        <v>439</v>
      </c>
      <c r="E8" s="358">
        <v>70111</v>
      </c>
      <c r="F8" s="359" t="s">
        <v>918</v>
      </c>
      <c r="G8" s="360">
        <v>2303211158</v>
      </c>
      <c r="H8" s="360">
        <v>6010312161</v>
      </c>
    </row>
    <row r="9" spans="1:10" ht="21" customHeight="1" x14ac:dyDescent="0.3">
      <c r="A9" s="355"/>
      <c r="B9" s="354" t="s">
        <v>922</v>
      </c>
      <c r="C9" s="355"/>
      <c r="D9" s="355"/>
      <c r="E9" s="881"/>
      <c r="F9" s="354"/>
      <c r="G9" s="354"/>
      <c r="H9" s="421"/>
    </row>
    <row r="10" spans="1:10" ht="21" customHeight="1" x14ac:dyDescent="0.25">
      <c r="A10" s="355">
        <v>21010100</v>
      </c>
      <c r="B10" s="356" t="s">
        <v>916</v>
      </c>
      <c r="C10" s="357" t="s">
        <v>92</v>
      </c>
      <c r="D10" s="358" t="s">
        <v>439</v>
      </c>
      <c r="E10" s="358">
        <v>70111</v>
      </c>
      <c r="F10" s="359" t="s">
        <v>918</v>
      </c>
      <c r="G10" s="360">
        <v>280861293</v>
      </c>
      <c r="H10" s="360">
        <v>302233531</v>
      </c>
    </row>
    <row r="11" spans="1:10" ht="21" customHeight="1" x14ac:dyDescent="0.25">
      <c r="A11" s="355"/>
      <c r="B11" s="355" t="s">
        <v>923</v>
      </c>
      <c r="C11" s="355"/>
      <c r="D11" s="354"/>
      <c r="E11" s="354"/>
      <c r="F11" s="354"/>
      <c r="G11" s="360"/>
      <c r="H11" s="354"/>
    </row>
    <row r="12" spans="1:10" ht="21" customHeight="1" x14ac:dyDescent="0.25">
      <c r="A12" s="355">
        <v>21010100</v>
      </c>
      <c r="B12" s="356" t="s">
        <v>916</v>
      </c>
      <c r="C12" s="357" t="s">
        <v>92</v>
      </c>
      <c r="D12" s="358" t="s">
        <v>598</v>
      </c>
      <c r="E12" s="364">
        <v>70131</v>
      </c>
      <c r="F12" s="359" t="s">
        <v>918</v>
      </c>
      <c r="G12" s="360">
        <v>202605244.12</v>
      </c>
      <c r="H12" s="360">
        <v>274164029</v>
      </c>
    </row>
    <row r="13" spans="1:10" ht="21" customHeight="1" x14ac:dyDescent="0.25">
      <c r="A13" s="355"/>
      <c r="B13" s="354" t="s">
        <v>924</v>
      </c>
      <c r="C13" s="355"/>
      <c r="D13" s="354"/>
      <c r="E13" s="354"/>
      <c r="F13" s="354"/>
      <c r="G13" s="360"/>
      <c r="H13" s="354"/>
    </row>
    <row r="14" spans="1:10" ht="21" customHeight="1" x14ac:dyDescent="0.25">
      <c r="A14" s="355">
        <v>21010100</v>
      </c>
      <c r="B14" s="356" t="s">
        <v>916</v>
      </c>
      <c r="C14" s="357" t="s">
        <v>92</v>
      </c>
      <c r="D14" s="358" t="s">
        <v>925</v>
      </c>
      <c r="E14" s="364">
        <v>70133</v>
      </c>
      <c r="F14" s="359" t="s">
        <v>918</v>
      </c>
      <c r="G14" s="360">
        <v>140059466.88</v>
      </c>
      <c r="H14" s="360">
        <v>148499747</v>
      </c>
    </row>
    <row r="15" spans="1:10" ht="21" customHeight="1" x14ac:dyDescent="0.25">
      <c r="A15" s="355"/>
      <c r="B15" s="354" t="s">
        <v>926</v>
      </c>
      <c r="C15" s="355"/>
      <c r="D15" s="354"/>
      <c r="E15" s="881"/>
      <c r="F15" s="354"/>
      <c r="G15" s="360"/>
      <c r="H15" s="354"/>
    </row>
    <row r="16" spans="1:10" ht="21" customHeight="1" x14ac:dyDescent="0.25">
      <c r="A16" s="355">
        <v>21010100</v>
      </c>
      <c r="B16" s="356" t="s">
        <v>916</v>
      </c>
      <c r="C16" s="357" t="s">
        <v>92</v>
      </c>
      <c r="D16" s="358" t="s">
        <v>927</v>
      </c>
      <c r="E16" s="364" t="s">
        <v>928</v>
      </c>
      <c r="F16" s="359" t="s">
        <v>918</v>
      </c>
      <c r="G16" s="360">
        <v>67648679.640000001</v>
      </c>
      <c r="H16" s="360">
        <v>71031995</v>
      </c>
    </row>
    <row r="17" spans="1:10" ht="21" customHeight="1" x14ac:dyDescent="0.25">
      <c r="A17" s="355"/>
      <c r="B17" s="354" t="s">
        <v>929</v>
      </c>
      <c r="C17" s="355"/>
      <c r="D17" s="354"/>
      <c r="E17" s="881"/>
      <c r="F17" s="354"/>
      <c r="G17" s="360"/>
      <c r="H17" s="354"/>
    </row>
    <row r="18" spans="1:10" ht="21" customHeight="1" x14ac:dyDescent="0.25">
      <c r="A18" s="355">
        <v>21010100</v>
      </c>
      <c r="B18" s="356" t="s">
        <v>916</v>
      </c>
      <c r="C18" s="357" t="s">
        <v>92</v>
      </c>
      <c r="D18" s="358" t="s">
        <v>444</v>
      </c>
      <c r="E18" s="364">
        <v>70131</v>
      </c>
      <c r="F18" s="359" t="s">
        <v>918</v>
      </c>
      <c r="G18" s="360">
        <v>121204543</v>
      </c>
      <c r="H18" s="360">
        <v>160911378</v>
      </c>
    </row>
    <row r="19" spans="1:10" ht="21" customHeight="1" x14ac:dyDescent="0.25">
      <c r="A19" s="355"/>
      <c r="B19" s="354" t="s">
        <v>930</v>
      </c>
      <c r="C19" s="355"/>
      <c r="D19" s="354"/>
      <c r="E19" s="881"/>
      <c r="F19" s="354"/>
      <c r="G19" s="360"/>
      <c r="H19" s="354"/>
    </row>
    <row r="20" spans="1:10" ht="21" customHeight="1" x14ac:dyDescent="0.25">
      <c r="A20" s="355">
        <v>21010100</v>
      </c>
      <c r="B20" s="356" t="s">
        <v>916</v>
      </c>
      <c r="C20" s="357" t="s">
        <v>92</v>
      </c>
      <c r="D20" s="358" t="s">
        <v>499</v>
      </c>
      <c r="E20" s="364">
        <v>70460</v>
      </c>
      <c r="F20" s="359" t="s">
        <v>918</v>
      </c>
      <c r="G20" s="360">
        <v>241762629</v>
      </c>
      <c r="H20" s="360">
        <v>492956334</v>
      </c>
    </row>
    <row r="21" spans="1:10" ht="21" customHeight="1" x14ac:dyDescent="0.25">
      <c r="A21" s="355"/>
      <c r="B21" s="354" t="s">
        <v>931</v>
      </c>
      <c r="C21" s="355"/>
      <c r="D21" s="367"/>
      <c r="E21" s="364"/>
      <c r="F21" s="359"/>
      <c r="G21" s="360"/>
      <c r="H21" s="360"/>
    </row>
    <row r="22" spans="1:10" ht="21" customHeight="1" x14ac:dyDescent="0.25">
      <c r="A22" s="355">
        <v>21010100</v>
      </c>
      <c r="B22" s="356" t="s">
        <v>916</v>
      </c>
      <c r="C22" s="357" t="s">
        <v>92</v>
      </c>
      <c r="D22" s="358" t="s">
        <v>499</v>
      </c>
      <c r="E22" s="364">
        <v>70460</v>
      </c>
      <c r="F22" s="359" t="s">
        <v>918</v>
      </c>
      <c r="G22" s="360">
        <v>488946225</v>
      </c>
      <c r="H22" s="360">
        <v>488946225</v>
      </c>
    </row>
    <row r="23" spans="1:10" ht="21" customHeight="1" x14ac:dyDescent="0.3">
      <c r="A23" s="355"/>
      <c r="B23" s="354" t="s">
        <v>932</v>
      </c>
      <c r="C23" s="355"/>
      <c r="D23" s="384"/>
      <c r="E23" s="364"/>
      <c r="F23" s="359"/>
      <c r="G23" s="360"/>
      <c r="H23" s="360"/>
    </row>
    <row r="24" spans="1:10" ht="21" customHeight="1" x14ac:dyDescent="0.25">
      <c r="A24" s="355"/>
      <c r="B24" s="356" t="s">
        <v>916</v>
      </c>
      <c r="C24" s="357" t="s">
        <v>92</v>
      </c>
      <c r="D24" s="358" t="s">
        <v>499</v>
      </c>
      <c r="E24" s="364">
        <v>70460</v>
      </c>
      <c r="F24" s="359" t="s">
        <v>918</v>
      </c>
      <c r="G24" s="360">
        <v>179564247</v>
      </c>
      <c r="H24" s="360">
        <v>198194926</v>
      </c>
    </row>
    <row r="25" spans="1:10" ht="69" customHeight="1" x14ac:dyDescent="0.25">
      <c r="A25" s="377"/>
      <c r="B25" s="378">
        <v>38</v>
      </c>
      <c r="C25" s="379"/>
      <c r="D25" s="380"/>
      <c r="E25" s="389"/>
      <c r="F25" s="382"/>
      <c r="G25" s="383"/>
      <c r="H25" s="383"/>
    </row>
    <row r="26" spans="1:10" ht="20.100000000000001" customHeight="1" x14ac:dyDescent="0.25">
      <c r="A26" s="355"/>
      <c r="B26" s="354" t="s">
        <v>933</v>
      </c>
      <c r="C26" s="355"/>
      <c r="D26" s="354"/>
      <c r="E26" s="354"/>
      <c r="F26" s="354"/>
      <c r="G26" s="360"/>
      <c r="H26" s="354"/>
    </row>
    <row r="27" spans="1:10" ht="20.100000000000001" customHeight="1" x14ac:dyDescent="0.25">
      <c r="A27" s="355">
        <v>21010100</v>
      </c>
      <c r="B27" s="356" t="s">
        <v>916</v>
      </c>
      <c r="C27" s="357" t="s">
        <v>92</v>
      </c>
      <c r="D27" s="358" t="s">
        <v>934</v>
      </c>
      <c r="E27" s="358">
        <v>70111</v>
      </c>
      <c r="F27" s="359" t="s">
        <v>918</v>
      </c>
      <c r="G27" s="360">
        <v>257387383.36000001</v>
      </c>
      <c r="H27" s="360">
        <v>284810696</v>
      </c>
    </row>
    <row r="28" spans="1:10" ht="20.100000000000001" customHeight="1" x14ac:dyDescent="0.25">
      <c r="A28" s="355"/>
      <c r="B28" s="354" t="s">
        <v>935</v>
      </c>
      <c r="C28" s="355"/>
      <c r="D28" s="354"/>
      <c r="E28" s="354"/>
      <c r="F28" s="354"/>
      <c r="G28" s="360"/>
      <c r="H28" s="354"/>
      <c r="J28" s="368"/>
    </row>
    <row r="29" spans="1:10" ht="20.100000000000001" customHeight="1" x14ac:dyDescent="0.25">
      <c r="A29" s="355">
        <v>21010100</v>
      </c>
      <c r="B29" s="356" t="s">
        <v>916</v>
      </c>
      <c r="C29" s="357" t="s">
        <v>92</v>
      </c>
      <c r="D29" s="358" t="s">
        <v>936</v>
      </c>
      <c r="E29" s="366">
        <v>70133</v>
      </c>
      <c r="F29" s="359" t="s">
        <v>918</v>
      </c>
      <c r="G29" s="360">
        <v>171384954.58000001</v>
      </c>
      <c r="H29" s="360">
        <v>200062770</v>
      </c>
    </row>
    <row r="30" spans="1:10" s="363" customFormat="1" ht="20.100000000000001" customHeight="1" x14ac:dyDescent="0.25">
      <c r="A30" s="355"/>
      <c r="B30" s="354" t="s">
        <v>937</v>
      </c>
      <c r="C30" s="361"/>
      <c r="D30" s="354"/>
      <c r="E30" s="354"/>
      <c r="F30" s="354"/>
      <c r="G30" s="360"/>
      <c r="H30" s="354"/>
      <c r="I30" s="344"/>
      <c r="J30" s="369"/>
    </row>
    <row r="31" spans="1:10" ht="20.100000000000001" customHeight="1" x14ac:dyDescent="0.25">
      <c r="A31" s="355">
        <v>21010100</v>
      </c>
      <c r="B31" s="356" t="s">
        <v>916</v>
      </c>
      <c r="C31" s="357" t="s">
        <v>92</v>
      </c>
      <c r="D31" s="358" t="s">
        <v>292</v>
      </c>
      <c r="E31" s="364">
        <v>70411</v>
      </c>
      <c r="F31" s="359" t="s">
        <v>918</v>
      </c>
      <c r="G31" s="360">
        <v>168243202.01999998</v>
      </c>
      <c r="H31" s="360">
        <v>148538377</v>
      </c>
    </row>
    <row r="32" spans="1:10" ht="20.100000000000001" customHeight="1" x14ac:dyDescent="0.25">
      <c r="A32" s="355"/>
      <c r="B32" s="354" t="s">
        <v>938</v>
      </c>
      <c r="C32" s="355"/>
      <c r="D32" s="354"/>
      <c r="E32" s="354"/>
      <c r="F32" s="354"/>
      <c r="G32" s="360"/>
      <c r="H32" s="354"/>
      <c r="J32" s="368"/>
    </row>
    <row r="33" spans="1:10" ht="20.100000000000001" customHeight="1" x14ac:dyDescent="0.25">
      <c r="A33" s="355">
        <v>21010100</v>
      </c>
      <c r="B33" s="356" t="s">
        <v>916</v>
      </c>
      <c r="C33" s="357" t="s">
        <v>92</v>
      </c>
      <c r="D33" s="358" t="s">
        <v>939</v>
      </c>
      <c r="E33" s="364">
        <v>70411</v>
      </c>
      <c r="F33" s="359" t="s">
        <v>918</v>
      </c>
      <c r="G33" s="360">
        <v>176304636.30000001</v>
      </c>
      <c r="H33" s="360">
        <v>209174901</v>
      </c>
    </row>
    <row r="34" spans="1:10" ht="20.100000000000001" customHeight="1" x14ac:dyDescent="0.25">
      <c r="A34" s="355"/>
      <c r="B34" s="354" t="s">
        <v>940</v>
      </c>
      <c r="C34" s="355"/>
      <c r="D34" s="354"/>
      <c r="E34" s="354"/>
      <c r="F34" s="354"/>
      <c r="G34" s="360"/>
      <c r="H34" s="354"/>
      <c r="J34" s="368"/>
    </row>
    <row r="35" spans="1:10" s="371" customFormat="1" ht="20.100000000000001" customHeight="1" x14ac:dyDescent="0.25">
      <c r="A35" s="355">
        <v>21010100</v>
      </c>
      <c r="B35" s="356" t="s">
        <v>916</v>
      </c>
      <c r="C35" s="357" t="s">
        <v>92</v>
      </c>
      <c r="D35" s="358" t="s">
        <v>941</v>
      </c>
      <c r="E35" s="364">
        <v>70131</v>
      </c>
      <c r="F35" s="359" t="s">
        <v>918</v>
      </c>
      <c r="G35" s="360">
        <v>34217599</v>
      </c>
      <c r="H35" s="360">
        <v>43102369</v>
      </c>
      <c r="I35" s="348"/>
      <c r="J35" s="370"/>
    </row>
    <row r="36" spans="1:10" ht="20.100000000000001" customHeight="1" x14ac:dyDescent="0.25">
      <c r="A36" s="355"/>
      <c r="B36" s="354" t="s">
        <v>942</v>
      </c>
      <c r="C36" s="355"/>
      <c r="D36" s="354"/>
      <c r="E36" s="354"/>
      <c r="F36" s="354"/>
      <c r="G36" s="360"/>
      <c r="H36" s="354"/>
      <c r="J36" s="368"/>
    </row>
    <row r="37" spans="1:10" ht="20.100000000000001" customHeight="1" x14ac:dyDescent="0.25">
      <c r="A37" s="355">
        <v>21010100</v>
      </c>
      <c r="B37" s="356" t="s">
        <v>916</v>
      </c>
      <c r="C37" s="357" t="s">
        <v>92</v>
      </c>
      <c r="D37" s="358" t="s">
        <v>943</v>
      </c>
      <c r="E37" s="366">
        <v>70131</v>
      </c>
      <c r="F37" s="359" t="s">
        <v>918</v>
      </c>
      <c r="G37" s="360">
        <v>56715877.880000003</v>
      </c>
      <c r="H37" s="360">
        <v>72579608</v>
      </c>
    </row>
    <row r="38" spans="1:10" ht="20.100000000000001" customHeight="1" x14ac:dyDescent="0.25">
      <c r="A38" s="355"/>
      <c r="B38" s="354" t="s">
        <v>944</v>
      </c>
      <c r="C38" s="355"/>
      <c r="D38" s="354"/>
      <c r="E38" s="354"/>
      <c r="F38" s="354"/>
      <c r="G38" s="360"/>
      <c r="H38" s="354"/>
      <c r="J38" s="368"/>
    </row>
    <row r="39" spans="1:10" s="371" customFormat="1" ht="20.100000000000001" customHeight="1" x14ac:dyDescent="0.25">
      <c r="A39" s="355">
        <v>21010100</v>
      </c>
      <c r="B39" s="356" t="s">
        <v>916</v>
      </c>
      <c r="C39" s="357" t="s">
        <v>92</v>
      </c>
      <c r="D39" s="358" t="s">
        <v>945</v>
      </c>
      <c r="E39" s="358">
        <v>70111</v>
      </c>
      <c r="F39" s="359" t="s">
        <v>918</v>
      </c>
      <c r="G39" s="360">
        <v>89235415.819999993</v>
      </c>
      <c r="H39" s="360">
        <v>102532086</v>
      </c>
      <c r="I39" s="348"/>
      <c r="J39" s="370"/>
    </row>
    <row r="40" spans="1:10" ht="20.100000000000001" customHeight="1" x14ac:dyDescent="0.25">
      <c r="A40" s="355"/>
      <c r="B40" s="354" t="s">
        <v>946</v>
      </c>
      <c r="C40" s="355"/>
      <c r="D40" s="354"/>
      <c r="E40" s="881"/>
      <c r="F40" s="354"/>
      <c r="G40" s="360"/>
      <c r="H40" s="354"/>
      <c r="J40" s="368"/>
    </row>
    <row r="41" spans="1:10" s="371" customFormat="1" ht="20.100000000000001" customHeight="1" x14ac:dyDescent="0.25">
      <c r="A41" s="355">
        <v>21010100</v>
      </c>
      <c r="B41" s="356" t="s">
        <v>916</v>
      </c>
      <c r="C41" s="357" t="s">
        <v>92</v>
      </c>
      <c r="D41" s="358" t="s">
        <v>947</v>
      </c>
      <c r="E41" s="358">
        <v>70111</v>
      </c>
      <c r="F41" s="359" t="s">
        <v>918</v>
      </c>
      <c r="G41" s="360">
        <v>2309149</v>
      </c>
      <c r="H41" s="360">
        <v>2680284</v>
      </c>
      <c r="I41" s="348"/>
      <c r="J41" s="372"/>
    </row>
    <row r="42" spans="1:10" s="375" customFormat="1" ht="20.100000000000001" customHeight="1" x14ac:dyDescent="0.25">
      <c r="A42" s="403"/>
      <c r="B42" s="971" t="s">
        <v>948</v>
      </c>
      <c r="C42" s="971"/>
      <c r="D42" s="971"/>
      <c r="E42" s="971"/>
      <c r="F42" s="971"/>
      <c r="G42" s="701">
        <f>SUM(G4,G6,G8,G10,G12,G14,G16,G18,G20,G22,G24,G27,G29,G31,G33,G35,G37,G39,G41)</f>
        <v>8690657387.6000004</v>
      </c>
      <c r="H42" s="701">
        <f>SUM(H4,H6,H8,H10,H12,H14,H16,H18,H20,H22,H24,H27,H29,H31,H33,H35,H37,H39,H41)</f>
        <v>13641075596</v>
      </c>
      <c r="I42" s="373"/>
      <c r="J42" s="374"/>
    </row>
    <row r="43" spans="1:10" ht="24.95" customHeight="1" x14ac:dyDescent="0.25">
      <c r="A43" s="403"/>
      <c r="B43" s="403" t="s">
        <v>36</v>
      </c>
      <c r="C43" s="403"/>
      <c r="D43" s="403"/>
      <c r="E43" s="403"/>
      <c r="F43" s="403"/>
      <c r="G43" s="360"/>
      <c r="H43" s="403"/>
    </row>
    <row r="44" spans="1:10" ht="24.95" customHeight="1" x14ac:dyDescent="0.25">
      <c r="A44" s="355"/>
      <c r="B44" s="354" t="s">
        <v>949</v>
      </c>
      <c r="C44" s="355"/>
      <c r="D44" s="376"/>
      <c r="E44" s="376"/>
      <c r="F44" s="376"/>
      <c r="G44" s="360"/>
      <c r="H44" s="376"/>
    </row>
    <row r="45" spans="1:10" s="371" customFormat="1" ht="24.95" customHeight="1" x14ac:dyDescent="0.25">
      <c r="A45" s="355">
        <v>21010100</v>
      </c>
      <c r="B45" s="356" t="s">
        <v>916</v>
      </c>
      <c r="C45" s="357" t="s">
        <v>92</v>
      </c>
      <c r="D45" s="358" t="s">
        <v>356</v>
      </c>
      <c r="E45" s="366">
        <v>70620</v>
      </c>
      <c r="F45" s="359" t="s">
        <v>918</v>
      </c>
      <c r="G45" s="360">
        <v>249657561.69999999</v>
      </c>
      <c r="H45" s="360">
        <v>380977948</v>
      </c>
      <c r="I45" s="348"/>
      <c r="J45" s="370"/>
    </row>
    <row r="46" spans="1:10" ht="24.95" customHeight="1" x14ac:dyDescent="0.25">
      <c r="A46" s="355"/>
      <c r="B46" s="354" t="s">
        <v>950</v>
      </c>
      <c r="C46" s="355"/>
      <c r="D46" s="376"/>
      <c r="E46" s="376"/>
      <c r="F46" s="376"/>
      <c r="G46" s="360"/>
      <c r="H46" s="376"/>
      <c r="J46" s="368"/>
    </row>
    <row r="47" spans="1:10" s="371" customFormat="1" ht="24.95" customHeight="1" x14ac:dyDescent="0.25">
      <c r="A47" s="355">
        <v>21010100</v>
      </c>
      <c r="B47" s="356" t="s">
        <v>916</v>
      </c>
      <c r="C47" s="357" t="s">
        <v>92</v>
      </c>
      <c r="D47" s="358" t="s">
        <v>243</v>
      </c>
      <c r="E47" s="366">
        <v>70820</v>
      </c>
      <c r="F47" s="359" t="s">
        <v>918</v>
      </c>
      <c r="G47" s="360">
        <v>264926565.82000002</v>
      </c>
      <c r="H47" s="360">
        <v>264926565.82000002</v>
      </c>
      <c r="I47" s="348"/>
      <c r="J47" s="370"/>
    </row>
    <row r="48" spans="1:10" s="371" customFormat="1" ht="87.75" customHeight="1" x14ac:dyDescent="0.25">
      <c r="A48" s="377"/>
      <c r="B48" s="378">
        <v>39</v>
      </c>
      <c r="C48" s="379"/>
      <c r="D48" s="380"/>
      <c r="E48" s="381"/>
      <c r="F48" s="382"/>
      <c r="G48" s="383"/>
      <c r="H48" s="383"/>
      <c r="I48" s="348"/>
      <c r="J48" s="370"/>
    </row>
    <row r="49" spans="1:10" ht="24.95" customHeight="1" x14ac:dyDescent="0.25">
      <c r="A49" s="355"/>
      <c r="B49" s="354" t="s">
        <v>951</v>
      </c>
      <c r="C49" s="355"/>
      <c r="D49" s="341"/>
      <c r="E49" s="376"/>
      <c r="F49" s="376"/>
      <c r="G49" s="360"/>
      <c r="H49" s="376"/>
    </row>
    <row r="50" spans="1:10" ht="24.95" customHeight="1" x14ac:dyDescent="0.25">
      <c r="A50" s="355">
        <v>21010100</v>
      </c>
      <c r="B50" s="356" t="s">
        <v>916</v>
      </c>
      <c r="C50" s="357" t="s">
        <v>92</v>
      </c>
      <c r="D50" s="358" t="s">
        <v>243</v>
      </c>
      <c r="E50" s="366">
        <v>70820</v>
      </c>
      <c r="F50" s="359" t="s">
        <v>918</v>
      </c>
      <c r="G50" s="360">
        <v>37444798</v>
      </c>
      <c r="H50" s="360">
        <v>74196167</v>
      </c>
    </row>
    <row r="51" spans="1:10" ht="24.95" customHeight="1" x14ac:dyDescent="0.25">
      <c r="A51" s="355"/>
      <c r="B51" s="354" t="s">
        <v>952</v>
      </c>
      <c r="C51" s="355"/>
      <c r="D51" s="341"/>
      <c r="E51" s="376"/>
      <c r="F51" s="376"/>
      <c r="G51" s="360"/>
      <c r="H51" s="376"/>
      <c r="J51" s="368"/>
    </row>
    <row r="52" spans="1:10" ht="24.95" customHeight="1" x14ac:dyDescent="0.25">
      <c r="A52" s="355"/>
      <c r="B52" s="356" t="s">
        <v>916</v>
      </c>
      <c r="C52" s="357" t="s">
        <v>92</v>
      </c>
      <c r="D52" s="358" t="s">
        <v>243</v>
      </c>
      <c r="E52" s="366">
        <v>70820</v>
      </c>
      <c r="F52" s="359" t="s">
        <v>918</v>
      </c>
      <c r="G52" s="360">
        <v>82390665</v>
      </c>
      <c r="H52" s="360">
        <v>141267979</v>
      </c>
    </row>
    <row r="53" spans="1:10" ht="24.95" customHeight="1" x14ac:dyDescent="0.25">
      <c r="A53" s="355"/>
      <c r="B53" s="354" t="s">
        <v>953</v>
      </c>
      <c r="C53" s="355"/>
      <c r="D53" s="376"/>
      <c r="E53" s="376"/>
      <c r="F53" s="376"/>
      <c r="G53" s="360"/>
      <c r="H53" s="376"/>
      <c r="J53" s="368"/>
    </row>
    <row r="54" spans="1:10" s="371" customFormat="1" ht="24.95" customHeight="1" x14ac:dyDescent="0.25">
      <c r="A54" s="355">
        <v>21010100</v>
      </c>
      <c r="B54" s="356" t="s">
        <v>916</v>
      </c>
      <c r="C54" s="357" t="s">
        <v>92</v>
      </c>
      <c r="D54" s="358" t="s">
        <v>160</v>
      </c>
      <c r="E54" s="364">
        <v>70421</v>
      </c>
      <c r="F54" s="359" t="s">
        <v>918</v>
      </c>
      <c r="G54" s="360">
        <v>949541581</v>
      </c>
      <c r="H54" s="360">
        <v>1293989369</v>
      </c>
      <c r="I54" s="348"/>
      <c r="J54" s="370"/>
    </row>
    <row r="55" spans="1:10" ht="24.95" customHeight="1" x14ac:dyDescent="0.25">
      <c r="A55" s="355"/>
      <c r="B55" s="354" t="s">
        <v>954</v>
      </c>
      <c r="C55" s="355"/>
      <c r="D55" s="341"/>
      <c r="E55" s="376"/>
      <c r="F55" s="376"/>
      <c r="G55" s="360"/>
      <c r="H55" s="376"/>
      <c r="J55" s="368"/>
    </row>
    <row r="56" spans="1:10" ht="24.95" customHeight="1" x14ac:dyDescent="0.25">
      <c r="A56" s="355">
        <v>21010100</v>
      </c>
      <c r="B56" s="356" t="s">
        <v>916</v>
      </c>
      <c r="C56" s="357" t="s">
        <v>92</v>
      </c>
      <c r="D56" s="358" t="s">
        <v>160</v>
      </c>
      <c r="E56" s="364">
        <v>70421</v>
      </c>
      <c r="F56" s="359" t="s">
        <v>918</v>
      </c>
      <c r="G56" s="360">
        <v>135496424</v>
      </c>
      <c r="H56" s="360">
        <v>162295355</v>
      </c>
    </row>
    <row r="57" spans="1:10" ht="24.95" customHeight="1" x14ac:dyDescent="0.3">
      <c r="A57" s="355"/>
      <c r="B57" s="354" t="s">
        <v>955</v>
      </c>
      <c r="C57" s="355"/>
      <c r="D57" s="384"/>
      <c r="E57" s="376"/>
      <c r="F57" s="376"/>
      <c r="G57" s="360"/>
      <c r="H57" s="376"/>
      <c r="J57" s="368"/>
    </row>
    <row r="58" spans="1:10" ht="24.95" customHeight="1" x14ac:dyDescent="0.25">
      <c r="A58" s="355">
        <v>21010100</v>
      </c>
      <c r="B58" s="356" t="s">
        <v>916</v>
      </c>
      <c r="C58" s="357" t="s">
        <v>92</v>
      </c>
      <c r="D58" s="358" t="s">
        <v>160</v>
      </c>
      <c r="E58" s="364">
        <v>70421</v>
      </c>
      <c r="F58" s="359" t="s">
        <v>918</v>
      </c>
      <c r="G58" s="360">
        <v>6344819</v>
      </c>
      <c r="H58" s="360">
        <v>6344819</v>
      </c>
    </row>
    <row r="59" spans="1:10" ht="24.95" customHeight="1" x14ac:dyDescent="0.25">
      <c r="A59" s="355"/>
      <c r="B59" s="354" t="s">
        <v>956</v>
      </c>
      <c r="C59" s="355"/>
      <c r="D59" s="376"/>
      <c r="E59" s="376"/>
      <c r="F59" s="376"/>
      <c r="G59" s="360"/>
      <c r="H59" s="376"/>
      <c r="J59" s="368"/>
    </row>
    <row r="60" spans="1:10" s="371" customFormat="1" ht="24.95" customHeight="1" x14ac:dyDescent="0.25">
      <c r="A60" s="355">
        <v>21010100</v>
      </c>
      <c r="B60" s="356" t="s">
        <v>916</v>
      </c>
      <c r="C60" s="357" t="s">
        <v>92</v>
      </c>
      <c r="D60" s="358" t="s">
        <v>199</v>
      </c>
      <c r="E60" s="366">
        <v>70490</v>
      </c>
      <c r="F60" s="359" t="s">
        <v>918</v>
      </c>
      <c r="G60" s="360">
        <v>293442187.18000001</v>
      </c>
      <c r="H60" s="360">
        <v>367462371</v>
      </c>
      <c r="I60" s="348"/>
      <c r="J60" s="370"/>
    </row>
    <row r="61" spans="1:10" ht="24.95" customHeight="1" x14ac:dyDescent="0.25">
      <c r="A61" s="355"/>
      <c r="B61" s="354" t="s">
        <v>957</v>
      </c>
      <c r="C61" s="355"/>
      <c r="D61" s="376"/>
      <c r="E61" s="376"/>
      <c r="F61" s="376"/>
      <c r="G61" s="360"/>
      <c r="H61" s="376"/>
      <c r="J61" s="368"/>
    </row>
    <row r="62" spans="1:10" s="371" customFormat="1" ht="24.95" customHeight="1" x14ac:dyDescent="0.25">
      <c r="A62" s="355">
        <v>21010100</v>
      </c>
      <c r="B62" s="356" t="s">
        <v>916</v>
      </c>
      <c r="C62" s="357" t="s">
        <v>92</v>
      </c>
      <c r="D62" s="358" t="s">
        <v>334</v>
      </c>
      <c r="E62" s="364">
        <v>70435</v>
      </c>
      <c r="F62" s="359" t="s">
        <v>918</v>
      </c>
      <c r="G62" s="360">
        <v>263407005.62</v>
      </c>
      <c r="H62" s="360">
        <v>263407005.62</v>
      </c>
      <c r="I62" s="348"/>
      <c r="J62" s="370"/>
    </row>
    <row r="63" spans="1:10" ht="24.95" customHeight="1" x14ac:dyDescent="0.25">
      <c r="A63" s="355"/>
      <c r="B63" s="354" t="s">
        <v>958</v>
      </c>
      <c r="C63" s="355"/>
      <c r="D63" s="341"/>
      <c r="E63" s="376"/>
      <c r="F63" s="376"/>
      <c r="G63" s="360"/>
      <c r="H63" s="376"/>
      <c r="J63" s="368"/>
    </row>
    <row r="64" spans="1:10" ht="24.95" customHeight="1" x14ac:dyDescent="0.25">
      <c r="A64" s="355">
        <v>21010100</v>
      </c>
      <c r="B64" s="356" t="s">
        <v>916</v>
      </c>
      <c r="C64" s="357" t="s">
        <v>92</v>
      </c>
      <c r="D64" s="358" t="s">
        <v>334</v>
      </c>
      <c r="E64" s="364">
        <v>70435</v>
      </c>
      <c r="F64" s="359" t="s">
        <v>918</v>
      </c>
      <c r="G64" s="360">
        <v>39562088</v>
      </c>
      <c r="H64" s="360">
        <v>93742580</v>
      </c>
    </row>
    <row r="65" spans="1:287" ht="24.95" customHeight="1" x14ac:dyDescent="0.25">
      <c r="A65" s="355"/>
      <c r="B65" s="354" t="s">
        <v>959</v>
      </c>
      <c r="C65" s="355"/>
      <c r="D65" s="376"/>
      <c r="E65" s="376"/>
      <c r="F65" s="376"/>
      <c r="G65" s="360"/>
      <c r="H65" s="376"/>
      <c r="J65" s="368"/>
    </row>
    <row r="66" spans="1:287" s="371" customFormat="1" ht="24.95" customHeight="1" x14ac:dyDescent="0.25">
      <c r="A66" s="355">
        <v>21010100</v>
      </c>
      <c r="B66" s="356" t="s">
        <v>916</v>
      </c>
      <c r="C66" s="357" t="s">
        <v>92</v>
      </c>
      <c r="D66" s="358" t="s">
        <v>155</v>
      </c>
      <c r="E66" s="366">
        <v>70630</v>
      </c>
      <c r="F66" s="359" t="s">
        <v>918</v>
      </c>
      <c r="G66" s="360">
        <v>626805954.65999997</v>
      </c>
      <c r="H66" s="360">
        <v>304173347</v>
      </c>
      <c r="I66" s="348"/>
      <c r="J66" s="370"/>
    </row>
    <row r="67" spans="1:287" ht="24.95" customHeight="1" x14ac:dyDescent="0.25">
      <c r="A67" s="355"/>
      <c r="B67" s="354" t="s">
        <v>960</v>
      </c>
      <c r="C67" s="355"/>
      <c r="D67" s="341"/>
      <c r="E67" s="376"/>
      <c r="F67" s="376"/>
      <c r="G67" s="360"/>
      <c r="H67" s="376"/>
      <c r="J67" s="368"/>
    </row>
    <row r="68" spans="1:287" ht="24.95" customHeight="1" x14ac:dyDescent="0.25">
      <c r="A68" s="355">
        <v>21010100</v>
      </c>
      <c r="B68" s="356" t="s">
        <v>916</v>
      </c>
      <c r="C68" s="357" t="s">
        <v>92</v>
      </c>
      <c r="D68" s="358" t="s">
        <v>155</v>
      </c>
      <c r="E68" s="366">
        <v>70630</v>
      </c>
      <c r="F68" s="359" t="s">
        <v>918</v>
      </c>
      <c r="G68" s="360">
        <v>348968744</v>
      </c>
      <c r="H68" s="360">
        <v>420793603</v>
      </c>
    </row>
    <row r="69" spans="1:287" ht="57" customHeight="1" x14ac:dyDescent="0.25">
      <c r="A69" s="377"/>
      <c r="B69" s="378">
        <v>40</v>
      </c>
      <c r="C69" s="379"/>
      <c r="D69" s="380"/>
      <c r="E69" s="381"/>
      <c r="F69" s="382"/>
      <c r="G69" s="383"/>
      <c r="H69" s="383"/>
    </row>
    <row r="70" spans="1:287" ht="24.95" customHeight="1" x14ac:dyDescent="0.25">
      <c r="A70" s="355"/>
      <c r="B70" s="354" t="s">
        <v>961</v>
      </c>
      <c r="C70" s="355"/>
      <c r="D70" s="341"/>
      <c r="E70" s="376"/>
      <c r="F70" s="376"/>
      <c r="G70" s="360"/>
      <c r="H70" s="376"/>
    </row>
    <row r="71" spans="1:287" s="386" customFormat="1" ht="24.95" customHeight="1" x14ac:dyDescent="0.25">
      <c r="A71" s="355">
        <v>21010100</v>
      </c>
      <c r="B71" s="356" t="s">
        <v>916</v>
      </c>
      <c r="C71" s="357" t="s">
        <v>92</v>
      </c>
      <c r="D71" s="358" t="s">
        <v>155</v>
      </c>
      <c r="E71" s="366">
        <v>70630</v>
      </c>
      <c r="F71" s="359" t="s">
        <v>918</v>
      </c>
      <c r="G71" s="360">
        <v>55134910</v>
      </c>
      <c r="H71" s="360">
        <v>117597555</v>
      </c>
      <c r="I71" s="344"/>
      <c r="J71" s="349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350"/>
      <c r="BX71" s="350"/>
      <c r="BY71" s="350"/>
      <c r="BZ71" s="350"/>
      <c r="CA71" s="350"/>
      <c r="CB71" s="350"/>
      <c r="CC71" s="350"/>
      <c r="CD71" s="350"/>
      <c r="CE71" s="350"/>
      <c r="CF71" s="350"/>
      <c r="CG71" s="350"/>
      <c r="CH71" s="350"/>
      <c r="CI71" s="350"/>
      <c r="CJ71" s="350"/>
      <c r="CK71" s="350"/>
      <c r="CL71" s="350"/>
      <c r="CM71" s="350"/>
      <c r="CN71" s="350"/>
      <c r="CO71" s="350"/>
      <c r="CP71" s="350"/>
      <c r="CQ71" s="350"/>
      <c r="CR71" s="350"/>
      <c r="CS71" s="350"/>
      <c r="CT71" s="350"/>
      <c r="CU71" s="350"/>
      <c r="CV71" s="350"/>
      <c r="CW71" s="350"/>
      <c r="CX71" s="350"/>
      <c r="CY71" s="350"/>
      <c r="CZ71" s="350"/>
      <c r="DA71" s="350"/>
      <c r="DB71" s="350"/>
      <c r="DC71" s="350"/>
      <c r="DD71" s="350"/>
      <c r="DE71" s="350"/>
      <c r="DF71" s="350"/>
      <c r="DG71" s="350"/>
      <c r="DH71" s="350"/>
      <c r="DI71" s="350"/>
      <c r="DJ71" s="350"/>
      <c r="DK71" s="350"/>
      <c r="DL71" s="350"/>
      <c r="DM71" s="350"/>
      <c r="DN71" s="350"/>
      <c r="DO71" s="350"/>
      <c r="DP71" s="350"/>
      <c r="DQ71" s="350"/>
      <c r="DR71" s="350"/>
      <c r="DS71" s="350"/>
      <c r="DT71" s="350"/>
      <c r="DU71" s="350"/>
      <c r="DV71" s="350"/>
      <c r="DW71" s="350"/>
      <c r="DX71" s="350"/>
      <c r="DY71" s="350"/>
      <c r="DZ71" s="350"/>
      <c r="EA71" s="350"/>
      <c r="EB71" s="350"/>
      <c r="EC71" s="350"/>
      <c r="ED71" s="350"/>
      <c r="EE71" s="350"/>
      <c r="EF71" s="350"/>
      <c r="EG71" s="350"/>
      <c r="EH71" s="350"/>
      <c r="EI71" s="350"/>
      <c r="EJ71" s="350"/>
      <c r="EK71" s="350"/>
      <c r="EL71" s="350"/>
      <c r="EM71" s="350"/>
      <c r="EN71" s="350"/>
      <c r="EO71" s="350"/>
      <c r="EP71" s="350"/>
      <c r="EQ71" s="350"/>
      <c r="ER71" s="350"/>
      <c r="ES71" s="350"/>
      <c r="ET71" s="350"/>
      <c r="EU71" s="350"/>
      <c r="EV71" s="350"/>
      <c r="EW71" s="350"/>
      <c r="EX71" s="350"/>
      <c r="EY71" s="350"/>
      <c r="EZ71" s="350"/>
      <c r="FA71" s="350"/>
      <c r="FB71" s="350"/>
      <c r="FC71" s="350"/>
      <c r="FD71" s="350"/>
      <c r="FE71" s="350"/>
      <c r="FF71" s="350"/>
      <c r="FG71" s="350"/>
      <c r="FH71" s="350"/>
      <c r="FI71" s="350"/>
      <c r="FJ71" s="350"/>
      <c r="FK71" s="350"/>
      <c r="FL71" s="350"/>
      <c r="FM71" s="350"/>
      <c r="FN71" s="350"/>
      <c r="FO71" s="350"/>
      <c r="FP71" s="350"/>
      <c r="FQ71" s="350"/>
      <c r="FR71" s="350"/>
      <c r="FS71" s="350"/>
      <c r="FT71" s="350"/>
      <c r="FU71" s="350"/>
      <c r="FV71" s="350"/>
      <c r="FW71" s="350"/>
      <c r="FX71" s="350"/>
      <c r="FY71" s="350"/>
      <c r="FZ71" s="350"/>
      <c r="GA71" s="350"/>
      <c r="GB71" s="350"/>
      <c r="GC71" s="350"/>
      <c r="GD71" s="350"/>
      <c r="GE71" s="350"/>
      <c r="GF71" s="350"/>
      <c r="GG71" s="350"/>
      <c r="GH71" s="350"/>
      <c r="GI71" s="350"/>
      <c r="GJ71" s="350"/>
      <c r="GK71" s="350"/>
      <c r="GL71" s="350"/>
      <c r="GM71" s="350"/>
      <c r="GN71" s="350"/>
      <c r="GO71" s="350"/>
      <c r="GP71" s="350"/>
      <c r="GQ71" s="350"/>
      <c r="GR71" s="350"/>
      <c r="GS71" s="350"/>
      <c r="GT71" s="350"/>
      <c r="GU71" s="350"/>
      <c r="GV71" s="350"/>
      <c r="GW71" s="350"/>
      <c r="GX71" s="350"/>
      <c r="GY71" s="350"/>
      <c r="GZ71" s="350"/>
      <c r="HA71" s="350"/>
      <c r="HB71" s="350"/>
      <c r="HC71" s="350"/>
      <c r="HD71" s="350"/>
      <c r="HE71" s="350"/>
      <c r="HF71" s="350"/>
      <c r="HG71" s="350"/>
      <c r="HH71" s="350"/>
      <c r="HI71" s="350"/>
      <c r="HJ71" s="350"/>
      <c r="HK71" s="350"/>
      <c r="HL71" s="350"/>
      <c r="HM71" s="350"/>
      <c r="HN71" s="350"/>
      <c r="HO71" s="350"/>
      <c r="HP71" s="350"/>
      <c r="HQ71" s="350"/>
      <c r="HR71" s="350"/>
      <c r="HS71" s="350"/>
      <c r="HT71" s="350"/>
      <c r="HU71" s="350"/>
      <c r="HV71" s="350"/>
      <c r="HW71" s="350"/>
      <c r="HX71" s="350"/>
      <c r="HY71" s="350"/>
      <c r="HZ71" s="350"/>
      <c r="IA71" s="350"/>
      <c r="IB71" s="350"/>
      <c r="IC71" s="350"/>
      <c r="ID71" s="350"/>
      <c r="IE71" s="350"/>
      <c r="IF71" s="350"/>
      <c r="IG71" s="350"/>
      <c r="IH71" s="350"/>
      <c r="II71" s="350"/>
      <c r="IJ71" s="350"/>
      <c r="IK71" s="350"/>
      <c r="IL71" s="350"/>
      <c r="IM71" s="350"/>
      <c r="IN71" s="350"/>
      <c r="IO71" s="350"/>
      <c r="IP71" s="350"/>
      <c r="IQ71" s="350"/>
      <c r="IR71" s="350"/>
      <c r="IS71" s="350"/>
      <c r="IT71" s="350"/>
      <c r="IU71" s="350"/>
      <c r="IV71" s="350"/>
      <c r="IW71" s="350"/>
      <c r="IX71" s="350"/>
      <c r="IY71" s="350"/>
      <c r="IZ71" s="350"/>
      <c r="JA71" s="350"/>
      <c r="JB71" s="350"/>
      <c r="JC71" s="350"/>
      <c r="JD71" s="350"/>
      <c r="JE71" s="350"/>
      <c r="JF71" s="350"/>
      <c r="JG71" s="350"/>
      <c r="JH71" s="350"/>
      <c r="JI71" s="350"/>
      <c r="JJ71" s="350"/>
      <c r="JK71" s="350"/>
      <c r="JL71" s="350"/>
      <c r="JM71" s="350"/>
      <c r="JN71" s="350"/>
      <c r="JO71" s="350"/>
      <c r="JP71" s="350"/>
      <c r="JQ71" s="350"/>
      <c r="JR71" s="350"/>
      <c r="JS71" s="350"/>
      <c r="JT71" s="350"/>
      <c r="JU71" s="350"/>
      <c r="JV71" s="350"/>
      <c r="JW71" s="350"/>
      <c r="JX71" s="350"/>
      <c r="JY71" s="350"/>
      <c r="JZ71" s="350"/>
      <c r="KA71" s="385"/>
    </row>
    <row r="72" spans="1:287" s="363" customFormat="1" ht="24.95" customHeight="1" x14ac:dyDescent="0.25">
      <c r="A72" s="355"/>
      <c r="B72" s="354" t="s">
        <v>962</v>
      </c>
      <c r="C72" s="361"/>
      <c r="D72" s="376"/>
      <c r="E72" s="376"/>
      <c r="F72" s="376"/>
      <c r="G72" s="360"/>
      <c r="H72" s="376"/>
      <c r="I72" s="344"/>
      <c r="J72" s="368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50"/>
      <c r="BJ72" s="350"/>
      <c r="BK72" s="350"/>
      <c r="BL72" s="350"/>
      <c r="BM72" s="350"/>
      <c r="BN72" s="350"/>
      <c r="BO72" s="350"/>
      <c r="BP72" s="350"/>
      <c r="BQ72" s="350"/>
      <c r="BR72" s="350"/>
      <c r="BS72" s="350"/>
      <c r="BT72" s="350"/>
      <c r="BU72" s="350"/>
      <c r="BV72" s="350"/>
      <c r="BW72" s="350"/>
      <c r="BX72" s="350"/>
      <c r="BY72" s="350"/>
      <c r="BZ72" s="350"/>
      <c r="CA72" s="350"/>
      <c r="CB72" s="350"/>
      <c r="CC72" s="350"/>
      <c r="CD72" s="350"/>
      <c r="CE72" s="350"/>
      <c r="CF72" s="350"/>
      <c r="CG72" s="350"/>
      <c r="CH72" s="350"/>
      <c r="CI72" s="350"/>
      <c r="CJ72" s="350"/>
      <c r="CK72" s="350"/>
      <c r="CL72" s="350"/>
      <c r="CM72" s="350"/>
      <c r="CN72" s="350"/>
      <c r="CO72" s="350"/>
      <c r="CP72" s="350"/>
      <c r="CQ72" s="350"/>
      <c r="CR72" s="350"/>
      <c r="CS72" s="350"/>
      <c r="CT72" s="350"/>
      <c r="CU72" s="350"/>
      <c r="CV72" s="350"/>
      <c r="CW72" s="350"/>
      <c r="CX72" s="350"/>
      <c r="CY72" s="350"/>
      <c r="CZ72" s="350"/>
      <c r="DA72" s="350"/>
      <c r="DB72" s="350"/>
      <c r="DC72" s="350"/>
      <c r="DD72" s="350"/>
      <c r="DE72" s="350"/>
      <c r="DF72" s="350"/>
      <c r="DG72" s="350"/>
      <c r="DH72" s="350"/>
      <c r="DI72" s="350"/>
      <c r="DJ72" s="350"/>
      <c r="DK72" s="350"/>
      <c r="DL72" s="350"/>
      <c r="DM72" s="350"/>
      <c r="DN72" s="350"/>
      <c r="DO72" s="350"/>
      <c r="DP72" s="350"/>
      <c r="DQ72" s="350"/>
      <c r="DR72" s="350"/>
      <c r="DS72" s="350"/>
      <c r="DT72" s="350"/>
      <c r="DU72" s="350"/>
      <c r="DV72" s="350"/>
      <c r="DW72" s="350"/>
      <c r="DX72" s="350"/>
      <c r="DY72" s="350"/>
      <c r="DZ72" s="350"/>
      <c r="EA72" s="350"/>
      <c r="EB72" s="350"/>
      <c r="EC72" s="350"/>
      <c r="ED72" s="350"/>
      <c r="EE72" s="350"/>
      <c r="EF72" s="350"/>
      <c r="EG72" s="350"/>
      <c r="EH72" s="350"/>
      <c r="EI72" s="350"/>
      <c r="EJ72" s="350"/>
      <c r="EK72" s="350"/>
      <c r="EL72" s="350"/>
      <c r="EM72" s="350"/>
      <c r="EN72" s="350"/>
      <c r="EO72" s="350"/>
      <c r="EP72" s="350"/>
      <c r="EQ72" s="350"/>
      <c r="ER72" s="350"/>
      <c r="ES72" s="350"/>
      <c r="ET72" s="350"/>
      <c r="EU72" s="350"/>
      <c r="EV72" s="350"/>
      <c r="EW72" s="350"/>
      <c r="EX72" s="350"/>
      <c r="EY72" s="350"/>
      <c r="EZ72" s="350"/>
      <c r="FA72" s="350"/>
      <c r="FB72" s="350"/>
      <c r="FC72" s="350"/>
      <c r="FD72" s="350"/>
      <c r="FE72" s="350"/>
      <c r="FF72" s="350"/>
      <c r="FG72" s="350"/>
      <c r="FH72" s="350"/>
      <c r="FI72" s="350"/>
      <c r="FJ72" s="350"/>
      <c r="FK72" s="350"/>
      <c r="FL72" s="350"/>
      <c r="FM72" s="350"/>
      <c r="FN72" s="350"/>
      <c r="FO72" s="350"/>
      <c r="FP72" s="350"/>
      <c r="FQ72" s="350"/>
      <c r="FR72" s="350"/>
      <c r="FS72" s="350"/>
      <c r="FT72" s="350"/>
      <c r="FU72" s="350"/>
      <c r="FV72" s="350"/>
      <c r="FW72" s="350"/>
      <c r="FX72" s="350"/>
      <c r="FY72" s="350"/>
      <c r="FZ72" s="350"/>
      <c r="GA72" s="350"/>
      <c r="GB72" s="350"/>
      <c r="GC72" s="350"/>
      <c r="GD72" s="350"/>
      <c r="GE72" s="350"/>
      <c r="GF72" s="350"/>
      <c r="GG72" s="350"/>
      <c r="GH72" s="350"/>
      <c r="GI72" s="350"/>
      <c r="GJ72" s="350"/>
      <c r="GK72" s="350"/>
      <c r="GL72" s="350"/>
      <c r="GM72" s="350"/>
      <c r="GN72" s="350"/>
      <c r="GO72" s="350"/>
      <c r="GP72" s="350"/>
      <c r="GQ72" s="350"/>
      <c r="GR72" s="350"/>
      <c r="GS72" s="350"/>
      <c r="GT72" s="350"/>
      <c r="GU72" s="350"/>
      <c r="GV72" s="350"/>
      <c r="GW72" s="350"/>
      <c r="GX72" s="350"/>
      <c r="GY72" s="350"/>
      <c r="GZ72" s="350"/>
      <c r="HA72" s="350"/>
      <c r="HB72" s="350"/>
      <c r="HC72" s="350"/>
      <c r="HD72" s="350"/>
      <c r="HE72" s="350"/>
      <c r="HF72" s="350"/>
      <c r="HG72" s="350"/>
      <c r="HH72" s="350"/>
      <c r="HI72" s="350"/>
      <c r="HJ72" s="350"/>
      <c r="HK72" s="350"/>
      <c r="HL72" s="350"/>
      <c r="HM72" s="350"/>
      <c r="HN72" s="350"/>
      <c r="HO72" s="350"/>
      <c r="HP72" s="350"/>
      <c r="HQ72" s="350"/>
      <c r="HR72" s="350"/>
      <c r="HS72" s="350"/>
      <c r="HT72" s="350"/>
      <c r="HU72" s="350"/>
      <c r="HV72" s="350"/>
      <c r="HW72" s="350"/>
      <c r="HX72" s="350"/>
      <c r="HY72" s="350"/>
      <c r="HZ72" s="350"/>
      <c r="IA72" s="350"/>
      <c r="IB72" s="350"/>
      <c r="IC72" s="350"/>
      <c r="ID72" s="350"/>
      <c r="IE72" s="350"/>
      <c r="IF72" s="350"/>
      <c r="IG72" s="350"/>
      <c r="IH72" s="350"/>
      <c r="II72" s="350"/>
      <c r="IJ72" s="350"/>
      <c r="IK72" s="350"/>
      <c r="IL72" s="350"/>
      <c r="IM72" s="350"/>
      <c r="IN72" s="350"/>
      <c r="IO72" s="350"/>
      <c r="IP72" s="350"/>
      <c r="IQ72" s="350"/>
      <c r="IR72" s="350"/>
      <c r="IS72" s="350"/>
      <c r="IT72" s="350"/>
      <c r="IU72" s="350"/>
      <c r="IV72" s="350"/>
      <c r="IW72" s="350"/>
      <c r="IX72" s="350"/>
      <c r="IY72" s="350"/>
      <c r="IZ72" s="350"/>
      <c r="JA72" s="350"/>
      <c r="JB72" s="350"/>
      <c r="JC72" s="350"/>
      <c r="JD72" s="350"/>
      <c r="JE72" s="350"/>
      <c r="JF72" s="350"/>
      <c r="JG72" s="350"/>
      <c r="JH72" s="350"/>
      <c r="JI72" s="350"/>
      <c r="JJ72" s="350"/>
      <c r="JK72" s="350"/>
      <c r="JL72" s="350"/>
      <c r="JM72" s="350"/>
      <c r="JN72" s="350"/>
      <c r="JO72" s="350"/>
      <c r="JP72" s="350"/>
      <c r="JQ72" s="350"/>
      <c r="JR72" s="350"/>
      <c r="JS72" s="350"/>
      <c r="JT72" s="350"/>
      <c r="JU72" s="350"/>
      <c r="JV72" s="350"/>
      <c r="JW72" s="350"/>
      <c r="JX72" s="350"/>
      <c r="JY72" s="350"/>
      <c r="JZ72" s="350"/>
    </row>
    <row r="73" spans="1:287" ht="24.95" customHeight="1" x14ac:dyDescent="0.25">
      <c r="A73" s="355">
        <v>21010100</v>
      </c>
      <c r="B73" s="356" t="s">
        <v>916</v>
      </c>
      <c r="C73" s="357" t="s">
        <v>92</v>
      </c>
      <c r="D73" s="358" t="s">
        <v>963</v>
      </c>
      <c r="E73" s="364" t="s">
        <v>964</v>
      </c>
      <c r="F73" s="359" t="s">
        <v>918</v>
      </c>
      <c r="G73" s="360">
        <v>94958502</v>
      </c>
      <c r="H73" s="360">
        <v>108671541</v>
      </c>
    </row>
    <row r="74" spans="1:287" ht="24.95" customHeight="1" x14ac:dyDescent="0.25">
      <c r="A74" s="355"/>
      <c r="B74" s="354" t="s">
        <v>965</v>
      </c>
      <c r="C74" s="355"/>
      <c r="D74" s="376"/>
      <c r="E74" s="376"/>
      <c r="F74" s="376"/>
      <c r="G74" s="360"/>
      <c r="H74" s="376"/>
      <c r="J74" s="368"/>
    </row>
    <row r="75" spans="1:287" ht="24.95" customHeight="1" x14ac:dyDescent="0.25">
      <c r="A75" s="355">
        <v>21010100</v>
      </c>
      <c r="B75" s="356" t="s">
        <v>916</v>
      </c>
      <c r="C75" s="357" t="s">
        <v>92</v>
      </c>
      <c r="D75" s="358" t="s">
        <v>966</v>
      </c>
      <c r="E75" s="364">
        <v>70436</v>
      </c>
      <c r="F75" s="359" t="s">
        <v>918</v>
      </c>
      <c r="G75" s="360">
        <v>47742658.719999999</v>
      </c>
      <c r="H75" s="360">
        <v>59366027</v>
      </c>
    </row>
    <row r="76" spans="1:287" ht="24.95" customHeight="1" x14ac:dyDescent="0.25">
      <c r="A76" s="355"/>
      <c r="B76" s="354" t="s">
        <v>967</v>
      </c>
      <c r="C76" s="355"/>
      <c r="D76" s="376"/>
      <c r="E76" s="376"/>
      <c r="F76" s="376"/>
      <c r="G76" s="360"/>
      <c r="H76" s="376"/>
      <c r="J76" s="368"/>
    </row>
    <row r="77" spans="1:287" ht="24.95" customHeight="1" x14ac:dyDescent="0.25">
      <c r="A77" s="355">
        <v>21010100</v>
      </c>
      <c r="B77" s="356" t="s">
        <v>916</v>
      </c>
      <c r="C77" s="357" t="s">
        <v>92</v>
      </c>
      <c r="D77" s="358" t="s">
        <v>537</v>
      </c>
      <c r="E77" s="358">
        <v>70112</v>
      </c>
      <c r="F77" s="359" t="s">
        <v>918</v>
      </c>
      <c r="G77" s="360">
        <v>98759392.980000004</v>
      </c>
      <c r="H77" s="360">
        <v>136204517</v>
      </c>
    </row>
    <row r="78" spans="1:287" ht="24.95" customHeight="1" x14ac:dyDescent="0.25">
      <c r="A78" s="355"/>
      <c r="B78" s="354" t="s">
        <v>968</v>
      </c>
      <c r="C78" s="355"/>
      <c r="D78" s="376"/>
      <c r="E78" s="376"/>
      <c r="F78" s="376"/>
      <c r="G78" s="360"/>
      <c r="H78" s="376"/>
      <c r="J78" s="368"/>
    </row>
    <row r="79" spans="1:287" ht="24.95" customHeight="1" x14ac:dyDescent="0.25">
      <c r="A79" s="355">
        <v>21010100</v>
      </c>
      <c r="B79" s="356" t="s">
        <v>916</v>
      </c>
      <c r="C79" s="357" t="s">
        <v>92</v>
      </c>
      <c r="D79" s="358" t="s">
        <v>107</v>
      </c>
      <c r="E79" s="358">
        <v>70112</v>
      </c>
      <c r="F79" s="359" t="s">
        <v>918</v>
      </c>
      <c r="G79" s="360">
        <v>981871561</v>
      </c>
      <c r="H79" s="360">
        <v>1289055304</v>
      </c>
    </row>
    <row r="80" spans="1:287" ht="24.95" customHeight="1" x14ac:dyDescent="0.25">
      <c r="A80" s="355"/>
      <c r="B80" s="354" t="s">
        <v>969</v>
      </c>
      <c r="C80" s="355"/>
      <c r="D80" s="376"/>
      <c r="E80" s="376"/>
      <c r="F80" s="376"/>
      <c r="G80" s="360"/>
      <c r="H80" s="376"/>
      <c r="J80" s="368"/>
    </row>
    <row r="81" spans="1:10" ht="24.95" customHeight="1" x14ac:dyDescent="0.25">
      <c r="A81" s="355">
        <v>21010100</v>
      </c>
      <c r="B81" s="356" t="s">
        <v>916</v>
      </c>
      <c r="C81" s="357" t="s">
        <v>92</v>
      </c>
      <c r="D81" s="358" t="s">
        <v>970</v>
      </c>
      <c r="E81" s="364">
        <v>70411</v>
      </c>
      <c r="F81" s="359" t="s">
        <v>918</v>
      </c>
      <c r="G81" s="360">
        <v>217213989.22</v>
      </c>
      <c r="H81" s="360">
        <v>346184154</v>
      </c>
    </row>
    <row r="82" spans="1:10" ht="24.95" customHeight="1" x14ac:dyDescent="0.25">
      <c r="A82" s="355"/>
      <c r="B82" s="354" t="s">
        <v>971</v>
      </c>
      <c r="C82" s="355"/>
      <c r="D82" s="376"/>
      <c r="E82" s="376"/>
      <c r="F82" s="376"/>
      <c r="G82" s="360"/>
      <c r="H82" s="376"/>
      <c r="I82" s="344"/>
      <c r="J82" s="368"/>
    </row>
    <row r="83" spans="1:10" ht="24.95" customHeight="1" x14ac:dyDescent="0.25">
      <c r="A83" s="355">
        <v>21010100</v>
      </c>
      <c r="B83" s="356" t="s">
        <v>916</v>
      </c>
      <c r="C83" s="357" t="s">
        <v>92</v>
      </c>
      <c r="D83" s="358" t="s">
        <v>972</v>
      </c>
      <c r="E83" s="358">
        <v>70112</v>
      </c>
      <c r="F83" s="359" t="s">
        <v>918</v>
      </c>
      <c r="G83" s="360">
        <v>307246479.63999999</v>
      </c>
      <c r="H83" s="360">
        <v>372323818</v>
      </c>
      <c r="I83" s="344"/>
    </row>
    <row r="84" spans="1:10" ht="24.95" customHeight="1" x14ac:dyDescent="0.25">
      <c r="A84" s="355"/>
      <c r="B84" s="354" t="s">
        <v>973</v>
      </c>
      <c r="C84" s="355"/>
      <c r="D84" s="376"/>
      <c r="E84" s="376"/>
      <c r="F84" s="376"/>
      <c r="G84" s="360"/>
      <c r="H84" s="376"/>
      <c r="I84" s="387"/>
      <c r="J84" s="368"/>
    </row>
    <row r="85" spans="1:10" ht="24.95" customHeight="1" x14ac:dyDescent="0.25">
      <c r="A85" s="355">
        <v>21010100</v>
      </c>
      <c r="B85" s="356" t="s">
        <v>916</v>
      </c>
      <c r="C85" s="357" t="s">
        <v>92</v>
      </c>
      <c r="D85" s="358" t="s">
        <v>340</v>
      </c>
      <c r="E85" s="388">
        <v>70443</v>
      </c>
      <c r="F85" s="359" t="s">
        <v>918</v>
      </c>
      <c r="G85" s="360">
        <v>309538049</v>
      </c>
      <c r="H85" s="360">
        <v>343034766</v>
      </c>
    </row>
    <row r="86" spans="1:10" ht="24.95" customHeight="1" x14ac:dyDescent="0.25">
      <c r="A86" s="355"/>
      <c r="B86" s="354" t="s">
        <v>974</v>
      </c>
      <c r="C86" s="355"/>
      <c r="D86" s="376"/>
      <c r="E86" s="376"/>
      <c r="F86" s="376"/>
      <c r="G86" s="360"/>
      <c r="H86" s="376"/>
      <c r="J86" s="368"/>
    </row>
    <row r="87" spans="1:10" ht="24.95" customHeight="1" x14ac:dyDescent="0.25">
      <c r="A87" s="355">
        <v>21010100</v>
      </c>
      <c r="B87" s="356" t="s">
        <v>916</v>
      </c>
      <c r="C87" s="357" t="s">
        <v>92</v>
      </c>
      <c r="D87" s="358" t="s">
        <v>975</v>
      </c>
      <c r="E87" s="366">
        <v>70610</v>
      </c>
      <c r="F87" s="359" t="s">
        <v>918</v>
      </c>
      <c r="G87" s="360">
        <v>205717315.28</v>
      </c>
      <c r="H87" s="360">
        <v>243825673</v>
      </c>
    </row>
    <row r="88" spans="1:10" ht="24.95" customHeight="1" x14ac:dyDescent="0.25">
      <c r="A88" s="355"/>
      <c r="B88" s="354" t="s">
        <v>976</v>
      </c>
      <c r="C88" s="355"/>
      <c r="D88" s="376"/>
      <c r="E88" s="376"/>
      <c r="F88" s="376"/>
      <c r="G88" s="360"/>
      <c r="H88" s="376"/>
      <c r="J88" s="368"/>
    </row>
    <row r="89" spans="1:10" ht="24.95" customHeight="1" x14ac:dyDescent="0.25">
      <c r="A89" s="355">
        <v>21010100</v>
      </c>
      <c r="B89" s="356" t="s">
        <v>916</v>
      </c>
      <c r="C89" s="357" t="s">
        <v>92</v>
      </c>
      <c r="D89" s="358" t="s">
        <v>224</v>
      </c>
      <c r="E89" s="364">
        <v>70411</v>
      </c>
      <c r="F89" s="359" t="s">
        <v>918</v>
      </c>
      <c r="G89" s="360">
        <v>245410331</v>
      </c>
      <c r="H89" s="360">
        <v>300584173.93276894</v>
      </c>
    </row>
    <row r="90" spans="1:10" ht="54.75" customHeight="1" x14ac:dyDescent="0.25">
      <c r="A90" s="377"/>
      <c r="B90" s="378">
        <v>41</v>
      </c>
      <c r="C90" s="379"/>
      <c r="D90" s="380"/>
      <c r="E90" s="389"/>
      <c r="F90" s="382"/>
      <c r="G90" s="383"/>
      <c r="H90" s="383"/>
    </row>
    <row r="91" spans="1:10" ht="24.95" customHeight="1" x14ac:dyDescent="0.25">
      <c r="A91" s="355"/>
      <c r="B91" s="354" t="s">
        <v>977</v>
      </c>
      <c r="C91" s="355"/>
      <c r="D91" s="341"/>
      <c r="E91" s="376"/>
      <c r="F91" s="376"/>
      <c r="G91" s="360"/>
      <c r="H91" s="376"/>
    </row>
    <row r="92" spans="1:10" ht="24.95" customHeight="1" x14ac:dyDescent="0.25">
      <c r="A92" s="355">
        <v>21010100</v>
      </c>
      <c r="B92" s="356" t="s">
        <v>916</v>
      </c>
      <c r="C92" s="357" t="s">
        <v>92</v>
      </c>
      <c r="D92" s="358" t="s">
        <v>224</v>
      </c>
      <c r="E92" s="364">
        <v>70411</v>
      </c>
      <c r="F92" s="359" t="s">
        <v>918</v>
      </c>
      <c r="G92" s="360">
        <v>335904012</v>
      </c>
      <c r="H92" s="360">
        <v>540483037</v>
      </c>
    </row>
    <row r="93" spans="1:10" ht="24.95" customHeight="1" x14ac:dyDescent="0.25">
      <c r="A93" s="355"/>
      <c r="B93" s="354" t="s">
        <v>978</v>
      </c>
      <c r="C93" s="355"/>
      <c r="D93" s="341"/>
      <c r="E93" s="376"/>
      <c r="F93" s="376"/>
      <c r="G93" s="360"/>
      <c r="H93" s="376"/>
      <c r="J93" s="368"/>
    </row>
    <row r="94" spans="1:10" ht="24.95" customHeight="1" x14ac:dyDescent="0.25">
      <c r="A94" s="355">
        <v>21010100</v>
      </c>
      <c r="B94" s="356" t="s">
        <v>916</v>
      </c>
      <c r="C94" s="357" t="s">
        <v>92</v>
      </c>
      <c r="D94" s="358" t="s">
        <v>224</v>
      </c>
      <c r="E94" s="364">
        <v>70411</v>
      </c>
      <c r="F94" s="359" t="s">
        <v>918</v>
      </c>
      <c r="G94" s="360">
        <v>175644324</v>
      </c>
      <c r="H94" s="360">
        <v>175644324</v>
      </c>
    </row>
    <row r="95" spans="1:10" ht="24.95" customHeight="1" x14ac:dyDescent="0.25">
      <c r="A95" s="355"/>
      <c r="B95" s="354" t="s">
        <v>979</v>
      </c>
      <c r="C95" s="355"/>
      <c r="D95" s="376"/>
      <c r="E95" s="376"/>
      <c r="F95" s="376"/>
      <c r="G95" s="360"/>
      <c r="H95" s="376"/>
      <c r="J95" s="368"/>
    </row>
    <row r="96" spans="1:10" ht="24.95" customHeight="1" x14ac:dyDescent="0.25">
      <c r="A96" s="355">
        <v>21010100</v>
      </c>
      <c r="B96" s="356" t="s">
        <v>916</v>
      </c>
      <c r="C96" s="357" t="s">
        <v>92</v>
      </c>
      <c r="D96" s="358" t="s">
        <v>378</v>
      </c>
      <c r="E96" s="366">
        <v>70620</v>
      </c>
      <c r="F96" s="359" t="s">
        <v>918</v>
      </c>
      <c r="G96" s="360">
        <v>56940864.5</v>
      </c>
      <c r="H96" s="360">
        <v>106391117</v>
      </c>
    </row>
    <row r="97" spans="1:10" ht="24.95" customHeight="1" x14ac:dyDescent="0.45">
      <c r="A97" s="355"/>
      <c r="B97" s="972" t="s">
        <v>980</v>
      </c>
      <c r="C97" s="972"/>
      <c r="D97" s="972"/>
      <c r="E97" s="972"/>
      <c r="F97" s="972"/>
      <c r="G97" s="702">
        <f>SUM(G45,G47,G50,G52,G54,G56,G58,G60,G62,G64,G66,G68,G71,G73,G75,G77,G79,G81,G83,G85,G87,G89,G92,G94,G96,)</f>
        <v>6430070783.3200006</v>
      </c>
      <c r="H97" s="702">
        <f>SUM(H45,H47,H50,H52,H54,H56,H58,H60,H62,H64,H66,H68,H71,H73,H75,H77,H79,H81,H83,H85,H87,H89,H92,H94,H96)</f>
        <v>7912943116.3727694</v>
      </c>
    </row>
    <row r="98" spans="1:10" ht="24.95" customHeight="1" x14ac:dyDescent="0.25">
      <c r="A98" s="403"/>
      <c r="B98" s="403" t="s">
        <v>981</v>
      </c>
      <c r="C98" s="355"/>
      <c r="D98" s="403"/>
      <c r="E98" s="403"/>
      <c r="F98" s="403"/>
      <c r="G98" s="360"/>
      <c r="H98" s="403"/>
    </row>
    <row r="99" spans="1:10" ht="24.95" customHeight="1" x14ac:dyDescent="0.25">
      <c r="A99" s="355"/>
      <c r="B99" s="354" t="s">
        <v>982</v>
      </c>
      <c r="C99" s="355"/>
      <c r="D99" s="376"/>
      <c r="E99" s="376"/>
      <c r="F99" s="376"/>
      <c r="G99" s="360"/>
      <c r="H99" s="376"/>
    </row>
    <row r="100" spans="1:10" ht="24.95" customHeight="1" x14ac:dyDescent="0.25">
      <c r="A100" s="355">
        <v>21010100</v>
      </c>
      <c r="B100" s="356" t="s">
        <v>916</v>
      </c>
      <c r="C100" s="357" t="s">
        <v>92</v>
      </c>
      <c r="D100" s="358" t="s">
        <v>456</v>
      </c>
      <c r="E100" s="364">
        <v>70330</v>
      </c>
      <c r="F100" s="359" t="s">
        <v>918</v>
      </c>
      <c r="G100" s="360">
        <v>529948731.60000002</v>
      </c>
      <c r="H100" s="360">
        <v>609635011</v>
      </c>
    </row>
    <row r="101" spans="1:10" ht="24.95" customHeight="1" x14ac:dyDescent="0.25">
      <c r="A101" s="355"/>
      <c r="B101" s="354" t="s">
        <v>983</v>
      </c>
      <c r="C101" s="355"/>
      <c r="D101" s="376"/>
      <c r="E101" s="376"/>
      <c r="F101" s="376"/>
      <c r="G101" s="360"/>
      <c r="H101" s="376"/>
      <c r="J101" s="368"/>
    </row>
    <row r="102" spans="1:10" ht="24.95" customHeight="1" x14ac:dyDescent="0.25">
      <c r="A102" s="355">
        <v>21010100</v>
      </c>
      <c r="B102" s="356" t="s">
        <v>916</v>
      </c>
      <c r="C102" s="357" t="s">
        <v>92</v>
      </c>
      <c r="D102" s="358" t="s">
        <v>344</v>
      </c>
      <c r="E102" s="364">
        <v>70330</v>
      </c>
      <c r="F102" s="359" t="s">
        <v>918</v>
      </c>
      <c r="G102" s="360">
        <v>2405318090.3200002</v>
      </c>
      <c r="H102" s="360">
        <v>3001226745</v>
      </c>
    </row>
    <row r="103" spans="1:10" ht="24.95" customHeight="1" x14ac:dyDescent="0.25">
      <c r="A103" s="355"/>
      <c r="B103" s="354" t="s">
        <v>984</v>
      </c>
      <c r="C103" s="355"/>
      <c r="D103" s="341"/>
      <c r="E103" s="376"/>
      <c r="F103" s="376"/>
      <c r="G103" s="360"/>
      <c r="H103" s="376"/>
      <c r="J103" s="368"/>
    </row>
    <row r="104" spans="1:10" ht="24.95" customHeight="1" x14ac:dyDescent="0.25">
      <c r="A104" s="355">
        <v>21010100</v>
      </c>
      <c r="B104" s="356" t="s">
        <v>916</v>
      </c>
      <c r="C104" s="357" t="s">
        <v>92</v>
      </c>
      <c r="D104" s="358" t="s">
        <v>344</v>
      </c>
      <c r="E104" s="364">
        <v>70330</v>
      </c>
      <c r="F104" s="359" t="s">
        <v>918</v>
      </c>
      <c r="G104" s="360">
        <v>42527217</v>
      </c>
      <c r="H104" s="360">
        <v>42527217</v>
      </c>
    </row>
    <row r="105" spans="1:10" ht="24.95" customHeight="1" x14ac:dyDescent="0.25">
      <c r="A105" s="355"/>
      <c r="B105" s="354" t="s">
        <v>985</v>
      </c>
      <c r="C105" s="355"/>
      <c r="D105" s="376"/>
      <c r="E105" s="376"/>
      <c r="F105" s="376"/>
      <c r="G105" s="360"/>
      <c r="H105" s="376"/>
      <c r="J105" s="368"/>
    </row>
    <row r="106" spans="1:10" ht="24.95" customHeight="1" x14ac:dyDescent="0.25">
      <c r="A106" s="355">
        <v>21010100</v>
      </c>
      <c r="B106" s="356" t="s">
        <v>916</v>
      </c>
      <c r="C106" s="357" t="s">
        <v>92</v>
      </c>
      <c r="D106" s="358" t="s">
        <v>349</v>
      </c>
      <c r="E106" s="364">
        <v>70330</v>
      </c>
      <c r="F106" s="359" t="s">
        <v>918</v>
      </c>
      <c r="G106" s="360">
        <v>1496216135</v>
      </c>
      <c r="H106" s="360">
        <v>1615918395</v>
      </c>
    </row>
    <row r="107" spans="1:10" ht="24.95" customHeight="1" x14ac:dyDescent="0.25">
      <c r="A107" s="355"/>
      <c r="B107" s="354" t="s">
        <v>986</v>
      </c>
      <c r="C107" s="355"/>
      <c r="D107" s="376"/>
      <c r="E107" s="376"/>
      <c r="F107" s="376"/>
      <c r="G107" s="360"/>
      <c r="H107" s="376"/>
      <c r="J107" s="368"/>
    </row>
    <row r="108" spans="1:10" ht="24.95" customHeight="1" x14ac:dyDescent="0.25">
      <c r="A108" s="355">
        <v>21010100</v>
      </c>
      <c r="B108" s="356" t="s">
        <v>916</v>
      </c>
      <c r="C108" s="357" t="s">
        <v>92</v>
      </c>
      <c r="D108" s="358" t="s">
        <v>349</v>
      </c>
      <c r="E108" s="364">
        <v>70330</v>
      </c>
      <c r="F108" s="359" t="s">
        <v>918</v>
      </c>
      <c r="G108" s="360">
        <v>52606683</v>
      </c>
      <c r="H108" s="360">
        <v>87319882</v>
      </c>
    </row>
    <row r="109" spans="1:10" ht="50.25" customHeight="1" x14ac:dyDescent="0.45">
      <c r="A109" s="355"/>
      <c r="B109" s="972" t="s">
        <v>987</v>
      </c>
      <c r="C109" s="972"/>
      <c r="D109" s="972"/>
      <c r="E109" s="972"/>
      <c r="F109" s="972"/>
      <c r="G109" s="703">
        <f>SUM(G100,G102,G104,G106,G108)</f>
        <v>4526616856.9200001</v>
      </c>
      <c r="H109" s="703">
        <f>SUM(H100,H102,H104,H106,H108)</f>
        <v>5356627250</v>
      </c>
    </row>
    <row r="110" spans="1:10" ht="69.75" customHeight="1" x14ac:dyDescent="0.45">
      <c r="A110" s="377"/>
      <c r="B110" s="390">
        <v>42</v>
      </c>
      <c r="C110" s="391"/>
      <c r="D110" s="391"/>
      <c r="E110" s="391"/>
      <c r="F110" s="391"/>
      <c r="G110" s="392"/>
      <c r="H110" s="392"/>
    </row>
    <row r="111" spans="1:10" ht="24.95" customHeight="1" x14ac:dyDescent="0.25">
      <c r="A111" s="403"/>
      <c r="B111" s="403" t="s">
        <v>988</v>
      </c>
      <c r="C111" s="355"/>
      <c r="D111" s="403"/>
      <c r="E111" s="403"/>
      <c r="F111" s="403"/>
      <c r="G111" s="360"/>
      <c r="H111" s="403"/>
    </row>
    <row r="112" spans="1:10" ht="24.95" customHeight="1" x14ac:dyDescent="0.25">
      <c r="A112" s="355"/>
      <c r="B112" s="354" t="s">
        <v>989</v>
      </c>
      <c r="C112" s="355"/>
      <c r="D112" s="376"/>
      <c r="E112" s="376"/>
      <c r="F112" s="376"/>
      <c r="G112" s="360"/>
      <c r="H112" s="376"/>
    </row>
    <row r="113" spans="1:10" ht="24.95" customHeight="1" x14ac:dyDescent="0.25">
      <c r="A113" s="355">
        <v>21010100</v>
      </c>
      <c r="B113" s="356" t="s">
        <v>916</v>
      </c>
      <c r="C113" s="357" t="s">
        <v>92</v>
      </c>
      <c r="D113" s="358" t="s">
        <v>349</v>
      </c>
      <c r="E113" s="882">
        <v>70810</v>
      </c>
      <c r="F113" s="359" t="s">
        <v>918</v>
      </c>
      <c r="G113" s="360">
        <v>159491145.47999999</v>
      </c>
      <c r="H113" s="360">
        <v>150287106</v>
      </c>
    </row>
    <row r="114" spans="1:10" ht="24.95" customHeight="1" x14ac:dyDescent="0.25">
      <c r="A114" s="355"/>
      <c r="B114" s="354" t="s">
        <v>990</v>
      </c>
      <c r="C114" s="355"/>
      <c r="D114" s="376"/>
      <c r="E114" s="376"/>
      <c r="F114" s="376"/>
      <c r="G114" s="360"/>
      <c r="H114" s="376"/>
      <c r="J114" s="368"/>
    </row>
    <row r="115" spans="1:10" ht="24.95" customHeight="1" x14ac:dyDescent="0.25">
      <c r="A115" s="355">
        <v>21010100</v>
      </c>
      <c r="B115" s="356" t="s">
        <v>916</v>
      </c>
      <c r="C115" s="357" t="s">
        <v>92</v>
      </c>
      <c r="D115" s="358" t="s">
        <v>349</v>
      </c>
      <c r="E115" s="882">
        <v>70133</v>
      </c>
      <c r="F115" s="359" t="s">
        <v>918</v>
      </c>
      <c r="G115" s="360">
        <v>23555014</v>
      </c>
      <c r="H115" s="360">
        <v>139181424</v>
      </c>
    </row>
    <row r="116" spans="1:10" ht="24.95" customHeight="1" x14ac:dyDescent="0.25">
      <c r="A116" s="355"/>
      <c r="B116" s="354" t="s">
        <v>991</v>
      </c>
      <c r="C116" s="355"/>
      <c r="D116" s="376"/>
      <c r="E116" s="376"/>
      <c r="F116" s="376"/>
      <c r="G116" s="360"/>
      <c r="H116" s="376"/>
      <c r="J116" s="368"/>
    </row>
    <row r="117" spans="1:10" ht="24.95" customHeight="1" x14ac:dyDescent="0.25">
      <c r="A117" s="355">
        <v>21010100</v>
      </c>
      <c r="B117" s="356" t="s">
        <v>916</v>
      </c>
      <c r="C117" s="357" t="s">
        <v>92</v>
      </c>
      <c r="D117" s="358" t="s">
        <v>349</v>
      </c>
      <c r="E117" s="882">
        <v>70133</v>
      </c>
      <c r="F117" s="359" t="s">
        <v>918</v>
      </c>
      <c r="G117" s="360">
        <v>104603980</v>
      </c>
      <c r="H117" s="360">
        <v>117489859</v>
      </c>
    </row>
    <row r="118" spans="1:10" ht="24.95" customHeight="1" x14ac:dyDescent="0.25">
      <c r="A118" s="355"/>
      <c r="B118" s="354" t="s">
        <v>992</v>
      </c>
      <c r="C118" s="355"/>
      <c r="D118" s="376"/>
      <c r="E118" s="376"/>
      <c r="F118" s="376"/>
      <c r="G118" s="360"/>
      <c r="H118" s="376"/>
      <c r="J118" s="368"/>
    </row>
    <row r="119" spans="1:10" ht="24.95" customHeight="1" x14ac:dyDescent="0.25">
      <c r="A119" s="355">
        <v>21010100</v>
      </c>
      <c r="B119" s="356" t="s">
        <v>916</v>
      </c>
      <c r="C119" s="357" t="s">
        <v>92</v>
      </c>
      <c r="D119" s="358" t="s">
        <v>349</v>
      </c>
      <c r="E119" s="882">
        <v>70560</v>
      </c>
      <c r="F119" s="359" t="s">
        <v>918</v>
      </c>
      <c r="G119" s="360">
        <v>229709161</v>
      </c>
      <c r="H119" s="360">
        <v>280807172</v>
      </c>
    </row>
    <row r="120" spans="1:10" ht="24.95" customHeight="1" x14ac:dyDescent="0.25">
      <c r="A120" s="355"/>
      <c r="B120" s="354" t="s">
        <v>993</v>
      </c>
      <c r="C120" s="355"/>
      <c r="D120" s="341"/>
      <c r="E120" s="376"/>
      <c r="F120" s="376"/>
      <c r="G120" s="360"/>
      <c r="H120" s="376"/>
      <c r="J120" s="368"/>
    </row>
    <row r="121" spans="1:10" ht="24.95" customHeight="1" x14ac:dyDescent="0.25">
      <c r="A121" s="355">
        <v>21010100</v>
      </c>
      <c r="B121" s="356" t="s">
        <v>916</v>
      </c>
      <c r="C121" s="357" t="s">
        <v>92</v>
      </c>
      <c r="D121" s="358" t="s">
        <v>349</v>
      </c>
      <c r="E121" s="882">
        <v>70560</v>
      </c>
      <c r="F121" s="359" t="s">
        <v>918</v>
      </c>
      <c r="G121" s="360">
        <v>109603410</v>
      </c>
      <c r="H121" s="360">
        <v>116792507</v>
      </c>
    </row>
    <row r="122" spans="1:10" ht="24.95" customHeight="1" x14ac:dyDescent="0.25">
      <c r="A122" s="355"/>
      <c r="B122" s="354" t="s">
        <v>994</v>
      </c>
      <c r="C122" s="355"/>
      <c r="D122" s="341"/>
      <c r="E122" s="376"/>
      <c r="F122" s="376"/>
      <c r="G122" s="360"/>
      <c r="H122" s="376"/>
      <c r="J122" s="368"/>
    </row>
    <row r="123" spans="1:10" ht="24.95" customHeight="1" x14ac:dyDescent="0.25">
      <c r="A123" s="355">
        <v>21010100</v>
      </c>
      <c r="B123" s="356" t="s">
        <v>916</v>
      </c>
      <c r="C123" s="357" t="s">
        <v>92</v>
      </c>
      <c r="D123" s="358" t="s">
        <v>349</v>
      </c>
      <c r="E123" s="882">
        <v>70560</v>
      </c>
      <c r="F123" s="359" t="s">
        <v>918</v>
      </c>
      <c r="G123" s="360"/>
      <c r="H123" s="360">
        <v>13440759</v>
      </c>
    </row>
    <row r="124" spans="1:10" ht="24.95" customHeight="1" x14ac:dyDescent="0.25">
      <c r="A124" s="355"/>
      <c r="B124" s="354" t="s">
        <v>995</v>
      </c>
      <c r="C124" s="355"/>
      <c r="D124" s="376"/>
      <c r="E124" s="376"/>
      <c r="F124" s="376"/>
      <c r="G124" s="360"/>
      <c r="H124" s="376"/>
      <c r="J124" s="368"/>
    </row>
    <row r="125" spans="1:10" ht="24.95" customHeight="1" x14ac:dyDescent="0.25">
      <c r="A125" s="355">
        <v>21010100</v>
      </c>
      <c r="B125" s="356" t="s">
        <v>916</v>
      </c>
      <c r="C125" s="357" t="s">
        <v>92</v>
      </c>
      <c r="D125" s="358" t="s">
        <v>349</v>
      </c>
      <c r="E125" s="883" t="s">
        <v>1838</v>
      </c>
      <c r="F125" s="359" t="s">
        <v>918</v>
      </c>
      <c r="G125" s="360">
        <v>883090685</v>
      </c>
      <c r="H125" s="360">
        <v>1078321274</v>
      </c>
    </row>
    <row r="126" spans="1:10" ht="24.95" customHeight="1" x14ac:dyDescent="0.25">
      <c r="A126" s="355"/>
      <c r="B126" s="354" t="s">
        <v>996</v>
      </c>
      <c r="C126" s="355"/>
      <c r="D126" s="376"/>
      <c r="E126" s="376"/>
      <c r="F126" s="376"/>
      <c r="G126" s="360"/>
      <c r="H126" s="376"/>
      <c r="J126" s="368"/>
    </row>
    <row r="127" spans="1:10" ht="24.95" customHeight="1" x14ac:dyDescent="0.25">
      <c r="A127" s="355">
        <v>21010100</v>
      </c>
      <c r="B127" s="356" t="s">
        <v>916</v>
      </c>
      <c r="C127" s="357" t="s">
        <v>92</v>
      </c>
      <c r="D127" s="358" t="s">
        <v>349</v>
      </c>
      <c r="E127" s="882">
        <v>70912</v>
      </c>
      <c r="F127" s="359" t="s">
        <v>918</v>
      </c>
      <c r="G127" s="360">
        <v>730703352</v>
      </c>
      <c r="H127" s="360">
        <v>946068409</v>
      </c>
    </row>
    <row r="128" spans="1:10" ht="24.95" customHeight="1" x14ac:dyDescent="0.25">
      <c r="A128" s="355"/>
      <c r="B128" s="354" t="s">
        <v>997</v>
      </c>
      <c r="C128" s="355"/>
      <c r="D128" s="341"/>
      <c r="E128" s="882"/>
      <c r="F128" s="376"/>
      <c r="G128" s="360"/>
      <c r="H128" s="376"/>
      <c r="J128" s="368"/>
    </row>
    <row r="129" spans="1:10" ht="24.95" customHeight="1" x14ac:dyDescent="0.25">
      <c r="A129" s="355">
        <v>21010100</v>
      </c>
      <c r="B129" s="356" t="s">
        <v>916</v>
      </c>
      <c r="C129" s="357" t="s">
        <v>92</v>
      </c>
      <c r="D129" s="358" t="s">
        <v>349</v>
      </c>
      <c r="E129" s="882">
        <v>70912</v>
      </c>
      <c r="F129" s="359" t="s">
        <v>918</v>
      </c>
      <c r="G129" s="360"/>
      <c r="H129" s="360">
        <v>424363764.71170104</v>
      </c>
    </row>
    <row r="130" spans="1:10" ht="66" customHeight="1" x14ac:dyDescent="0.25">
      <c r="A130" s="377"/>
      <c r="B130" s="378">
        <v>43</v>
      </c>
      <c r="C130" s="379"/>
      <c r="D130" s="380"/>
      <c r="E130" s="882"/>
      <c r="F130" s="382"/>
      <c r="G130" s="383"/>
      <c r="H130" s="383"/>
    </row>
    <row r="131" spans="1:10" ht="24.95" customHeight="1" x14ac:dyDescent="0.25">
      <c r="A131" s="355"/>
      <c r="B131" s="354" t="s">
        <v>998</v>
      </c>
      <c r="C131" s="355"/>
      <c r="D131" s="341"/>
      <c r="E131" s="376"/>
      <c r="F131" s="376"/>
      <c r="G131" s="360"/>
      <c r="H131" s="376"/>
    </row>
    <row r="132" spans="1:10" ht="24.95" customHeight="1" x14ac:dyDescent="0.25">
      <c r="A132" s="355">
        <v>21010100</v>
      </c>
      <c r="B132" s="356" t="s">
        <v>916</v>
      </c>
      <c r="C132" s="357" t="s">
        <v>92</v>
      </c>
      <c r="D132" s="358" t="s">
        <v>349</v>
      </c>
      <c r="E132" s="882">
        <v>70912</v>
      </c>
      <c r="F132" s="359" t="s">
        <v>918</v>
      </c>
      <c r="G132" s="360"/>
      <c r="H132" s="360">
        <v>24184527197.656742</v>
      </c>
    </row>
    <row r="133" spans="1:10" ht="24.95" customHeight="1" x14ac:dyDescent="0.25">
      <c r="A133" s="355"/>
      <c r="B133" s="354" t="s">
        <v>999</v>
      </c>
      <c r="C133" s="355"/>
      <c r="D133" s="341"/>
      <c r="E133" s="376"/>
      <c r="F133" s="376"/>
      <c r="G133" s="360"/>
      <c r="H133" s="376"/>
      <c r="J133" s="368"/>
    </row>
    <row r="134" spans="1:10" ht="24.95" customHeight="1" x14ac:dyDescent="0.25">
      <c r="A134" s="355">
        <v>21010100</v>
      </c>
      <c r="B134" s="356" t="s">
        <v>916</v>
      </c>
      <c r="C134" s="357" t="s">
        <v>92</v>
      </c>
      <c r="D134" s="358" t="s">
        <v>349</v>
      </c>
      <c r="E134" s="882">
        <v>70912</v>
      </c>
      <c r="F134" s="359" t="s">
        <v>918</v>
      </c>
      <c r="G134" s="360"/>
      <c r="H134" s="360">
        <v>429845207.89132887</v>
      </c>
    </row>
    <row r="135" spans="1:10" ht="24.95" customHeight="1" x14ac:dyDescent="0.25">
      <c r="A135" s="355"/>
      <c r="B135" s="354" t="s">
        <v>1000</v>
      </c>
      <c r="C135" s="355"/>
      <c r="D135" s="376"/>
      <c r="E135" s="376"/>
      <c r="F135" s="376"/>
      <c r="G135" s="360"/>
      <c r="H135" s="376"/>
      <c r="J135" s="368"/>
    </row>
    <row r="136" spans="1:10" ht="24.95" customHeight="1" x14ac:dyDescent="0.25">
      <c r="A136" s="355">
        <v>21010100</v>
      </c>
      <c r="B136" s="356" t="s">
        <v>916</v>
      </c>
      <c r="C136" s="357" t="s">
        <v>92</v>
      </c>
      <c r="D136" s="358" t="s">
        <v>349</v>
      </c>
      <c r="E136" s="882">
        <v>70941</v>
      </c>
      <c r="F136" s="359" t="s">
        <v>918</v>
      </c>
      <c r="G136" s="360">
        <v>145430231</v>
      </c>
      <c r="H136" s="360">
        <v>193015819.43172544</v>
      </c>
    </row>
    <row r="137" spans="1:10" ht="24.95" customHeight="1" x14ac:dyDescent="0.25">
      <c r="A137" s="355"/>
      <c r="B137" s="354" t="s">
        <v>1001</v>
      </c>
      <c r="C137" s="355"/>
      <c r="D137" s="341"/>
      <c r="E137" s="376"/>
      <c r="F137" s="376"/>
      <c r="G137" s="360"/>
      <c r="H137" s="376"/>
      <c r="J137" s="368"/>
    </row>
    <row r="138" spans="1:10" ht="24.95" customHeight="1" x14ac:dyDescent="0.25">
      <c r="A138" s="355">
        <v>21010100</v>
      </c>
      <c r="B138" s="356" t="s">
        <v>916</v>
      </c>
      <c r="C138" s="357" t="s">
        <v>92</v>
      </c>
      <c r="D138" s="358" t="s">
        <v>349</v>
      </c>
      <c r="E138" s="882">
        <v>70941</v>
      </c>
      <c r="F138" s="359" t="s">
        <v>918</v>
      </c>
      <c r="G138" s="360">
        <v>4890879366</v>
      </c>
      <c r="H138" s="360">
        <v>5793537359</v>
      </c>
    </row>
    <row r="139" spans="1:10" ht="24.95" customHeight="1" x14ac:dyDescent="0.25">
      <c r="A139" s="355"/>
      <c r="B139" s="354" t="s">
        <v>1002</v>
      </c>
      <c r="C139" s="355"/>
      <c r="D139" s="341"/>
      <c r="E139" s="376"/>
      <c r="F139" s="376"/>
      <c r="G139" s="360"/>
      <c r="H139" s="376"/>
      <c r="J139" s="368"/>
    </row>
    <row r="140" spans="1:10" ht="24.95" customHeight="1" x14ac:dyDescent="0.25">
      <c r="A140" s="355">
        <v>21010100</v>
      </c>
      <c r="B140" s="356" t="s">
        <v>916</v>
      </c>
      <c r="C140" s="357" t="s">
        <v>92</v>
      </c>
      <c r="D140" s="358" t="s">
        <v>349</v>
      </c>
      <c r="E140" s="882">
        <v>70941</v>
      </c>
      <c r="F140" s="359" t="s">
        <v>918</v>
      </c>
      <c r="G140" s="360">
        <v>869258196</v>
      </c>
      <c r="H140" s="360">
        <v>1159641588</v>
      </c>
    </row>
    <row r="141" spans="1:10" ht="24.95" customHeight="1" x14ac:dyDescent="0.25">
      <c r="A141" s="355"/>
      <c r="B141" s="354" t="s">
        <v>1003</v>
      </c>
      <c r="C141" s="355"/>
      <c r="D141" s="341"/>
      <c r="E141" s="376"/>
      <c r="F141" s="376"/>
      <c r="G141" s="360"/>
      <c r="H141" s="376"/>
      <c r="J141" s="368"/>
    </row>
    <row r="142" spans="1:10" ht="24.95" customHeight="1" x14ac:dyDescent="0.25">
      <c r="A142" s="355">
        <v>21010100</v>
      </c>
      <c r="B142" s="356" t="s">
        <v>916</v>
      </c>
      <c r="C142" s="357" t="s">
        <v>92</v>
      </c>
      <c r="D142" s="358" t="s">
        <v>349</v>
      </c>
      <c r="E142" s="882">
        <v>70941</v>
      </c>
      <c r="F142" s="359" t="s">
        <v>918</v>
      </c>
      <c r="G142" s="360">
        <v>992093477</v>
      </c>
      <c r="H142" s="360">
        <v>1376693764</v>
      </c>
    </row>
    <row r="143" spans="1:10" ht="24.95" customHeight="1" x14ac:dyDescent="0.25">
      <c r="A143" s="355"/>
      <c r="B143" s="354" t="s">
        <v>1004</v>
      </c>
      <c r="C143" s="355"/>
      <c r="D143" s="341"/>
      <c r="E143" s="376"/>
      <c r="F143" s="376"/>
      <c r="G143" s="360"/>
      <c r="H143" s="376"/>
      <c r="J143" s="368"/>
    </row>
    <row r="144" spans="1:10" ht="24.95" customHeight="1" x14ac:dyDescent="0.25">
      <c r="A144" s="355">
        <v>21010100</v>
      </c>
      <c r="B144" s="356" t="s">
        <v>916</v>
      </c>
      <c r="C144" s="357" t="s">
        <v>92</v>
      </c>
      <c r="D144" s="358" t="s">
        <v>349</v>
      </c>
      <c r="E144" s="882">
        <v>70941</v>
      </c>
      <c r="F144" s="359" t="s">
        <v>918</v>
      </c>
      <c r="G144" s="360">
        <v>903669843</v>
      </c>
      <c r="H144" s="360">
        <v>1242678515</v>
      </c>
    </row>
    <row r="145" spans="1:10" ht="24.95" customHeight="1" x14ac:dyDescent="0.25">
      <c r="A145" s="355"/>
      <c r="B145" s="355" t="s">
        <v>1005</v>
      </c>
      <c r="C145" s="355"/>
      <c r="D145" s="341"/>
      <c r="E145" s="354"/>
      <c r="F145" s="354"/>
      <c r="G145" s="360"/>
      <c r="H145" s="354"/>
      <c r="J145" s="368"/>
    </row>
    <row r="146" spans="1:10" ht="24.95" customHeight="1" x14ac:dyDescent="0.25">
      <c r="A146" s="355">
        <v>21010100</v>
      </c>
      <c r="B146" s="356" t="s">
        <v>916</v>
      </c>
      <c r="C146" s="357" t="s">
        <v>92</v>
      </c>
      <c r="D146" s="358" t="s">
        <v>349</v>
      </c>
      <c r="E146" s="882">
        <v>70941</v>
      </c>
      <c r="F146" s="359" t="s">
        <v>918</v>
      </c>
      <c r="G146" s="360">
        <v>1659984342</v>
      </c>
      <c r="H146" s="360">
        <v>1960904556</v>
      </c>
    </row>
    <row r="147" spans="1:10" ht="24.95" customHeight="1" x14ac:dyDescent="0.25">
      <c r="A147" s="355"/>
      <c r="B147" s="355" t="s">
        <v>1006</v>
      </c>
      <c r="C147" s="355"/>
      <c r="D147" s="341"/>
      <c r="E147" s="354"/>
      <c r="F147" s="354"/>
      <c r="G147" s="360"/>
      <c r="H147" s="354"/>
      <c r="J147" s="368"/>
    </row>
    <row r="148" spans="1:10" ht="24.95" customHeight="1" x14ac:dyDescent="0.25">
      <c r="A148" s="355">
        <v>21010100</v>
      </c>
      <c r="B148" s="356" t="s">
        <v>916</v>
      </c>
      <c r="C148" s="357" t="s">
        <v>92</v>
      </c>
      <c r="D148" s="358" t="s">
        <v>349</v>
      </c>
      <c r="E148" s="882">
        <v>70941</v>
      </c>
      <c r="F148" s="359" t="s">
        <v>918</v>
      </c>
      <c r="G148" s="360">
        <v>1947229235</v>
      </c>
      <c r="H148" s="360">
        <v>2420381326</v>
      </c>
    </row>
    <row r="149" spans="1:10" ht="24.95" customHeight="1" x14ac:dyDescent="0.25">
      <c r="A149" s="355"/>
      <c r="B149" s="355" t="s">
        <v>1007</v>
      </c>
      <c r="C149" s="355"/>
      <c r="D149" s="341"/>
      <c r="E149" s="354"/>
      <c r="F149" s="354"/>
      <c r="G149" s="360"/>
      <c r="H149" s="354"/>
      <c r="J149" s="368"/>
    </row>
    <row r="150" spans="1:10" ht="24.95" customHeight="1" x14ac:dyDescent="0.25">
      <c r="A150" s="355">
        <v>21010100</v>
      </c>
      <c r="B150" s="356" t="s">
        <v>916</v>
      </c>
      <c r="C150" s="357" t="s">
        <v>92</v>
      </c>
      <c r="D150" s="358" t="s">
        <v>349</v>
      </c>
      <c r="E150" s="364" t="s">
        <v>648</v>
      </c>
      <c r="F150" s="359" t="s">
        <v>918</v>
      </c>
      <c r="G150" s="360">
        <v>584525435</v>
      </c>
      <c r="H150" s="360">
        <v>824752115</v>
      </c>
    </row>
    <row r="151" spans="1:10" ht="63" customHeight="1" x14ac:dyDescent="0.25">
      <c r="A151" s="377"/>
      <c r="B151" s="378">
        <v>44</v>
      </c>
      <c r="C151" s="379"/>
      <c r="D151" s="380"/>
      <c r="E151" s="389"/>
      <c r="F151" s="382"/>
      <c r="G151" s="383"/>
      <c r="H151" s="383"/>
    </row>
    <row r="152" spans="1:10" ht="24.95" customHeight="1" x14ac:dyDescent="0.25">
      <c r="A152" s="355"/>
      <c r="B152" s="355" t="s">
        <v>1008</v>
      </c>
      <c r="C152" s="354" t="s">
        <v>1008</v>
      </c>
      <c r="D152" s="341"/>
      <c r="E152" s="354"/>
      <c r="F152" s="354"/>
      <c r="G152" s="360"/>
      <c r="H152" s="354"/>
    </row>
    <row r="153" spans="1:10" ht="24.95" customHeight="1" x14ac:dyDescent="0.25">
      <c r="A153" s="355">
        <v>21010100</v>
      </c>
      <c r="B153" s="356" t="s">
        <v>916</v>
      </c>
      <c r="C153" s="357" t="s">
        <v>92</v>
      </c>
      <c r="D153" s="358" t="s">
        <v>349</v>
      </c>
      <c r="E153" s="364" t="s">
        <v>648</v>
      </c>
      <c r="F153" s="359" t="s">
        <v>918</v>
      </c>
      <c r="G153" s="360">
        <v>21659023</v>
      </c>
      <c r="H153" s="360">
        <v>26366051</v>
      </c>
    </row>
    <row r="154" spans="1:10" ht="24.95" customHeight="1" x14ac:dyDescent="0.25">
      <c r="A154" s="355"/>
      <c r="B154" s="355" t="s">
        <v>1009</v>
      </c>
      <c r="C154" s="355"/>
      <c r="D154" s="341"/>
      <c r="E154" s="354"/>
      <c r="F154" s="354"/>
      <c r="G154" s="360"/>
      <c r="H154" s="354"/>
      <c r="J154" s="368"/>
    </row>
    <row r="155" spans="1:10" ht="24.95" customHeight="1" x14ac:dyDescent="0.25">
      <c r="A155" s="355">
        <v>21010100</v>
      </c>
      <c r="B155" s="356" t="s">
        <v>916</v>
      </c>
      <c r="C155" s="357" t="s">
        <v>92</v>
      </c>
      <c r="D155" s="358" t="s">
        <v>349</v>
      </c>
      <c r="E155" s="364" t="s">
        <v>648</v>
      </c>
      <c r="F155" s="359" t="s">
        <v>918</v>
      </c>
      <c r="G155" s="360">
        <v>167142802</v>
      </c>
      <c r="H155" s="360">
        <v>181436401</v>
      </c>
    </row>
    <row r="156" spans="1:10" ht="24.95" customHeight="1" x14ac:dyDescent="0.25">
      <c r="A156" s="355"/>
      <c r="B156" s="355" t="s">
        <v>1010</v>
      </c>
      <c r="C156" s="355"/>
      <c r="D156" s="354"/>
      <c r="E156" s="354"/>
      <c r="F156" s="354"/>
      <c r="G156" s="360"/>
      <c r="H156" s="354"/>
      <c r="J156" s="368"/>
    </row>
    <row r="157" spans="1:10" ht="24.95" customHeight="1" x14ac:dyDescent="0.25">
      <c r="A157" s="355">
        <v>21010100</v>
      </c>
      <c r="B157" s="356" t="s">
        <v>916</v>
      </c>
      <c r="C157" s="357" t="s">
        <v>92</v>
      </c>
      <c r="D157" s="358" t="s">
        <v>349</v>
      </c>
      <c r="E157" s="364" t="s">
        <v>648</v>
      </c>
      <c r="F157" s="359" t="s">
        <v>918</v>
      </c>
      <c r="G157" s="360">
        <v>903520586</v>
      </c>
      <c r="H157" s="360">
        <v>1143295226.5665977</v>
      </c>
    </row>
    <row r="158" spans="1:10" ht="24.95" customHeight="1" x14ac:dyDescent="0.25">
      <c r="A158" s="355"/>
      <c r="B158" s="355" t="s">
        <v>1011</v>
      </c>
      <c r="C158" s="357"/>
      <c r="D158" s="358"/>
      <c r="E158" s="366"/>
      <c r="F158" s="359"/>
      <c r="G158" s="360"/>
      <c r="H158" s="360"/>
    </row>
    <row r="159" spans="1:10" s="400" customFormat="1" ht="24.95" customHeight="1" x14ac:dyDescent="0.25">
      <c r="A159" s="393">
        <v>21010100</v>
      </c>
      <c r="B159" s="394" t="s">
        <v>916</v>
      </c>
      <c r="C159" s="395" t="s">
        <v>92</v>
      </c>
      <c r="D159" s="396" t="s">
        <v>349</v>
      </c>
      <c r="E159" s="397" t="s">
        <v>648</v>
      </c>
      <c r="F159" s="398" t="s">
        <v>918</v>
      </c>
      <c r="G159" s="399">
        <v>7899286739</v>
      </c>
      <c r="H159" s="399">
        <v>9216668884</v>
      </c>
      <c r="I159" s="348"/>
      <c r="J159" s="349"/>
    </row>
    <row r="160" spans="1:10" ht="24.95" customHeight="1" x14ac:dyDescent="0.25">
      <c r="A160" s="355"/>
      <c r="B160" s="355" t="s">
        <v>1012</v>
      </c>
      <c r="C160" s="355"/>
      <c r="D160" s="341"/>
      <c r="E160" s="354"/>
      <c r="F160" s="354"/>
      <c r="G160" s="360"/>
      <c r="H160" s="354"/>
      <c r="J160" s="368"/>
    </row>
    <row r="161" spans="1:10" ht="24.95" customHeight="1" x14ac:dyDescent="0.25">
      <c r="A161" s="355">
        <v>21010100</v>
      </c>
      <c r="B161" s="356" t="s">
        <v>916</v>
      </c>
      <c r="C161" s="357" t="s">
        <v>92</v>
      </c>
      <c r="D161" s="358" t="s">
        <v>349</v>
      </c>
      <c r="E161" s="364" t="s">
        <v>648</v>
      </c>
      <c r="F161" s="359" t="s">
        <v>918</v>
      </c>
      <c r="G161" s="360">
        <v>180000000</v>
      </c>
      <c r="H161" s="360">
        <v>180000000</v>
      </c>
    </row>
    <row r="162" spans="1:10" ht="24.95" customHeight="1" x14ac:dyDescent="0.25">
      <c r="A162" s="355"/>
      <c r="B162" s="354" t="s">
        <v>901</v>
      </c>
      <c r="C162" s="355"/>
      <c r="D162" s="341"/>
      <c r="E162" s="376"/>
      <c r="F162" s="376"/>
      <c r="G162" s="360"/>
      <c r="H162" s="376"/>
      <c r="J162" s="368"/>
    </row>
    <row r="163" spans="1:10" ht="24.95" customHeight="1" x14ac:dyDescent="0.25">
      <c r="A163" s="355">
        <v>21010100</v>
      </c>
      <c r="B163" s="356" t="s">
        <v>916</v>
      </c>
      <c r="C163" s="357" t="s">
        <v>92</v>
      </c>
      <c r="D163" s="358" t="s">
        <v>349</v>
      </c>
      <c r="E163" s="364" t="s">
        <v>648</v>
      </c>
      <c r="F163" s="359" t="s">
        <v>918</v>
      </c>
      <c r="G163" s="360">
        <v>3005107303</v>
      </c>
      <c r="H163" s="360">
        <v>3183601036</v>
      </c>
    </row>
    <row r="164" spans="1:10" ht="24.95" customHeight="1" x14ac:dyDescent="0.25">
      <c r="A164" s="355"/>
      <c r="B164" s="354" t="s">
        <v>1013</v>
      </c>
      <c r="C164" s="355"/>
      <c r="D164" s="376"/>
      <c r="E164" s="376"/>
      <c r="F164" s="376"/>
      <c r="G164" s="360"/>
      <c r="H164" s="376"/>
      <c r="J164" s="368"/>
    </row>
    <row r="165" spans="1:10" ht="24.95" customHeight="1" x14ac:dyDescent="0.25">
      <c r="A165" s="355">
        <v>21010100</v>
      </c>
      <c r="B165" s="356" t="s">
        <v>916</v>
      </c>
      <c r="C165" s="357" t="s">
        <v>92</v>
      </c>
      <c r="D165" s="358" t="s">
        <v>349</v>
      </c>
      <c r="E165" s="364" t="s">
        <v>648</v>
      </c>
      <c r="F165" s="359" t="s">
        <v>918</v>
      </c>
      <c r="G165" s="401">
        <v>216125147.08000001</v>
      </c>
      <c r="H165" s="402">
        <v>264662471</v>
      </c>
    </row>
    <row r="166" spans="1:10" ht="24.95" customHeight="1" x14ac:dyDescent="0.25">
      <c r="A166" s="403"/>
      <c r="B166" s="971" t="s">
        <v>1014</v>
      </c>
      <c r="C166" s="971"/>
      <c r="D166" s="971"/>
      <c r="E166" s="971"/>
      <c r="F166" s="971"/>
      <c r="G166" s="405">
        <f>SUM(G113,G115,G117,G119,G121,G123,G125,G127,G129,G132,G134,G136,G138,G140,G142,G144,G146,G148,G150,G153,G155,G157,G159,G161,G163,G165)+19462608438.6</f>
        <v>46089276911.160004</v>
      </c>
      <c r="H166" s="405">
        <f>SUM(H113,H115,H117,H119,H121,H123,H125,H127,H129,H132,H134,H136,H138,H140,H142,H144,H146,H148,H150,H153,H155,H157,H159,H161,H163,H165)</f>
        <v>57048759792.258095</v>
      </c>
    </row>
    <row r="167" spans="1:10" ht="24.95" customHeight="1" x14ac:dyDescent="0.25">
      <c r="A167" s="403"/>
      <c r="B167" s="404"/>
      <c r="C167" s="404"/>
      <c r="D167" s="404"/>
      <c r="E167" s="404"/>
      <c r="F167" s="404"/>
      <c r="G167" s="405"/>
      <c r="H167" s="405"/>
    </row>
    <row r="168" spans="1:10" ht="24.95" customHeight="1" x14ac:dyDescent="0.25">
      <c r="A168" s="403"/>
      <c r="B168" s="971" t="s">
        <v>1015</v>
      </c>
      <c r="C168" s="971"/>
      <c r="D168" s="971"/>
      <c r="E168" s="971"/>
      <c r="F168" s="971"/>
      <c r="G168" s="405">
        <f>SUM(G42,G97,G109,G166)</f>
        <v>65736621939.000008</v>
      </c>
      <c r="H168" s="405">
        <v>83959405755</v>
      </c>
    </row>
    <row r="169" spans="1:10" ht="24.95" customHeight="1" x14ac:dyDescent="0.45">
      <c r="A169" s="377"/>
      <c r="B169" s="391"/>
      <c r="C169" s="391"/>
      <c r="D169" s="391"/>
      <c r="E169" s="391"/>
      <c r="F169" s="391"/>
      <c r="G169" s="406"/>
      <c r="H169" s="406"/>
    </row>
    <row r="170" spans="1:10" ht="43.5" customHeight="1" x14ac:dyDescent="0.45">
      <c r="A170" s="377"/>
      <c r="B170" s="390">
        <v>45</v>
      </c>
      <c r="C170" s="391"/>
      <c r="D170" s="391"/>
      <c r="E170" s="391"/>
      <c r="F170" s="391"/>
      <c r="G170" s="406"/>
      <c r="H170" s="406"/>
    </row>
    <row r="171" spans="1:10" ht="24.95" customHeight="1" x14ac:dyDescent="0.25">
      <c r="A171" s="355"/>
      <c r="B171" s="973" t="s">
        <v>1016</v>
      </c>
      <c r="C171" s="973"/>
      <c r="D171" s="973"/>
      <c r="E171" s="973"/>
      <c r="F171" s="973"/>
      <c r="G171" s="973"/>
      <c r="H171" s="973"/>
    </row>
    <row r="172" spans="1:10" ht="24.95" customHeight="1" x14ac:dyDescent="0.45">
      <c r="A172" s="355"/>
      <c r="B172" s="407" t="s">
        <v>1017</v>
      </c>
      <c r="C172" s="408"/>
      <c r="D172" s="408"/>
      <c r="E172" s="408"/>
      <c r="F172" s="408"/>
      <c r="G172" s="408"/>
      <c r="H172" s="408"/>
    </row>
    <row r="173" spans="1:10" ht="24.95" customHeight="1" x14ac:dyDescent="0.25">
      <c r="A173" s="355"/>
      <c r="B173" s="410" t="s">
        <v>1018</v>
      </c>
      <c r="C173" s="357"/>
      <c r="D173" s="358"/>
      <c r="E173" s="355"/>
      <c r="F173" s="359"/>
      <c r="G173" s="360"/>
      <c r="H173" s="359"/>
    </row>
    <row r="174" spans="1:10" ht="24.95" customHeight="1" x14ac:dyDescent="0.25">
      <c r="A174" s="355">
        <v>21010103</v>
      </c>
      <c r="B174" s="345" t="s">
        <v>1019</v>
      </c>
      <c r="C174" s="357" t="s">
        <v>92</v>
      </c>
      <c r="D174" s="358" t="s">
        <v>972</v>
      </c>
      <c r="E174" s="885">
        <v>70330</v>
      </c>
      <c r="F174" s="880" t="s">
        <v>918</v>
      </c>
      <c r="G174" s="360">
        <v>338893621.31999999</v>
      </c>
      <c r="H174" s="342">
        <v>234756414</v>
      </c>
    </row>
    <row r="175" spans="1:10" ht="24.95" customHeight="1" x14ac:dyDescent="0.25">
      <c r="A175" s="355">
        <v>21010103</v>
      </c>
      <c r="B175" s="345" t="s">
        <v>1020</v>
      </c>
      <c r="C175" s="357" t="s">
        <v>92</v>
      </c>
      <c r="D175" s="358" t="s">
        <v>972</v>
      </c>
      <c r="E175" s="882">
        <v>70131</v>
      </c>
      <c r="F175" s="880" t="s">
        <v>918</v>
      </c>
      <c r="G175" s="360">
        <v>0</v>
      </c>
      <c r="H175" s="342">
        <v>27410081.760000002</v>
      </c>
    </row>
    <row r="176" spans="1:10" ht="24.95" customHeight="1" x14ac:dyDescent="0.25">
      <c r="A176" s="355">
        <v>21010103</v>
      </c>
      <c r="B176" s="345" t="s">
        <v>1021</v>
      </c>
      <c r="C176" s="357" t="s">
        <v>92</v>
      </c>
      <c r="D176" s="358" t="s">
        <v>972</v>
      </c>
      <c r="E176" s="358">
        <v>70411</v>
      </c>
      <c r="F176" s="880" t="s">
        <v>918</v>
      </c>
      <c r="G176" s="360">
        <v>13102635.26</v>
      </c>
      <c r="H176" s="342">
        <v>7019269.0800000001</v>
      </c>
    </row>
    <row r="177" spans="1:8" ht="24.95" customHeight="1" x14ac:dyDescent="0.25">
      <c r="A177" s="355">
        <v>21010103</v>
      </c>
      <c r="B177" s="345" t="s">
        <v>1022</v>
      </c>
      <c r="C177" s="357" t="s">
        <v>92</v>
      </c>
      <c r="D177" s="358" t="s">
        <v>972</v>
      </c>
      <c r="E177" s="884">
        <v>70330</v>
      </c>
      <c r="F177" s="880" t="s">
        <v>918</v>
      </c>
      <c r="G177" s="360">
        <v>48716489</v>
      </c>
      <c r="H177" s="342">
        <v>125508249.84</v>
      </c>
    </row>
    <row r="178" spans="1:8" ht="24.95" customHeight="1" x14ac:dyDescent="0.25">
      <c r="A178" s="355">
        <v>21010103</v>
      </c>
      <c r="B178" s="345" t="s">
        <v>1023</v>
      </c>
      <c r="C178" s="357" t="s">
        <v>92</v>
      </c>
      <c r="D178" s="358" t="s">
        <v>972</v>
      </c>
      <c r="E178" s="358">
        <v>70411</v>
      </c>
      <c r="F178" s="880" t="s">
        <v>918</v>
      </c>
      <c r="G178" s="360">
        <v>4757504.58</v>
      </c>
      <c r="H178" s="342">
        <v>7019269.0800000001</v>
      </c>
    </row>
    <row r="179" spans="1:8" ht="24.95" customHeight="1" x14ac:dyDescent="0.25">
      <c r="A179" s="355">
        <v>21010103</v>
      </c>
      <c r="B179" s="345" t="s">
        <v>1024</v>
      </c>
      <c r="C179" s="357" t="s">
        <v>92</v>
      </c>
      <c r="D179" s="358" t="s">
        <v>972</v>
      </c>
      <c r="E179" s="886">
        <v>70111</v>
      </c>
      <c r="F179" s="880" t="s">
        <v>918</v>
      </c>
      <c r="G179" s="360">
        <v>9518224</v>
      </c>
      <c r="H179" s="342">
        <v>38107566.480000004</v>
      </c>
    </row>
    <row r="180" spans="1:8" ht="24.95" customHeight="1" x14ac:dyDescent="0.25">
      <c r="A180" s="355">
        <v>21010103</v>
      </c>
      <c r="B180" s="345" t="s">
        <v>1025</v>
      </c>
      <c r="C180" s="357" t="s">
        <v>92</v>
      </c>
      <c r="D180" s="358" t="s">
        <v>972</v>
      </c>
      <c r="E180" s="884">
        <v>70330</v>
      </c>
      <c r="F180" s="880" t="s">
        <v>918</v>
      </c>
      <c r="G180" s="360">
        <v>13746297</v>
      </c>
      <c r="H180" s="342">
        <v>27410081.760000002</v>
      </c>
    </row>
    <row r="181" spans="1:8" ht="24.95" customHeight="1" x14ac:dyDescent="0.25">
      <c r="A181" s="355"/>
      <c r="B181" s="409" t="s">
        <v>1026</v>
      </c>
      <c r="C181" s="357"/>
      <c r="D181" s="358"/>
      <c r="E181" s="355"/>
      <c r="F181" s="880"/>
      <c r="G181" s="343">
        <f>SUM(G174:G180)</f>
        <v>428734771.15999997</v>
      </c>
      <c r="H181" s="343">
        <f>SUM(H174:H180)</f>
        <v>467230931.99999994</v>
      </c>
    </row>
    <row r="182" spans="1:8" ht="24.95" customHeight="1" x14ac:dyDescent="0.25">
      <c r="A182" s="355">
        <v>21020200</v>
      </c>
      <c r="B182" s="410" t="s">
        <v>1027</v>
      </c>
      <c r="C182" s="357"/>
      <c r="D182" s="358"/>
      <c r="E182" s="355"/>
      <c r="F182" s="880"/>
      <c r="G182" s="360"/>
      <c r="H182" s="359"/>
    </row>
    <row r="183" spans="1:8" ht="24.95" customHeight="1" x14ac:dyDescent="0.25">
      <c r="A183" s="411" t="s">
        <v>1028</v>
      </c>
      <c r="B183" s="345" t="s">
        <v>1029</v>
      </c>
      <c r="C183" s="357" t="s">
        <v>92</v>
      </c>
      <c r="D183" s="358" t="s">
        <v>972</v>
      </c>
      <c r="E183" s="358">
        <v>70112</v>
      </c>
      <c r="F183" s="359" t="s">
        <v>918</v>
      </c>
      <c r="G183" s="360">
        <v>6600000000</v>
      </c>
      <c r="H183" s="360">
        <f>6600000000</f>
        <v>6600000000</v>
      </c>
    </row>
    <row r="184" spans="1:8" ht="24.95" customHeight="1" x14ac:dyDescent="0.25">
      <c r="A184" s="355">
        <v>21020204</v>
      </c>
      <c r="B184" s="345" t="s">
        <v>1030</v>
      </c>
      <c r="C184" s="395" t="s">
        <v>92</v>
      </c>
      <c r="D184" s="396" t="s">
        <v>972</v>
      </c>
      <c r="E184" s="396">
        <v>70112</v>
      </c>
      <c r="F184" s="398" t="s">
        <v>918</v>
      </c>
      <c r="G184" s="399">
        <v>1200000000</v>
      </c>
      <c r="H184" s="399">
        <v>1200000000</v>
      </c>
    </row>
    <row r="185" spans="1:8" ht="24.95" customHeight="1" x14ac:dyDescent="0.25">
      <c r="A185" s="355"/>
      <c r="B185" s="409" t="s">
        <v>1031</v>
      </c>
      <c r="C185" s="357"/>
      <c r="D185" s="358"/>
      <c r="E185" s="355"/>
      <c r="F185" s="359"/>
      <c r="G185" s="412">
        <f>SUM(G183:G184)</f>
        <v>7800000000</v>
      </c>
      <c r="H185" s="412">
        <f>SUM(H183:H184)</f>
        <v>7800000000</v>
      </c>
    </row>
    <row r="186" spans="1:8" ht="24.95" customHeight="1" x14ac:dyDescent="0.25">
      <c r="A186" s="355">
        <v>22010000</v>
      </c>
      <c r="B186" s="410" t="s">
        <v>1032</v>
      </c>
      <c r="C186" s="357"/>
      <c r="D186" s="358"/>
      <c r="E186" s="355"/>
      <c r="F186" s="359"/>
      <c r="G186" s="360"/>
      <c r="H186" s="359"/>
    </row>
    <row r="187" spans="1:8" ht="24.95" customHeight="1" x14ac:dyDescent="0.25">
      <c r="A187" s="355">
        <v>22010100</v>
      </c>
      <c r="B187" s="413" t="s">
        <v>1033</v>
      </c>
      <c r="C187" s="357" t="s">
        <v>92</v>
      </c>
      <c r="D187" s="358" t="s">
        <v>972</v>
      </c>
      <c r="E187" s="355">
        <v>70112</v>
      </c>
      <c r="F187" s="880" t="s">
        <v>918</v>
      </c>
      <c r="G187" s="360">
        <v>400000000</v>
      </c>
      <c r="H187" s="360">
        <v>400000000</v>
      </c>
    </row>
    <row r="188" spans="1:8" ht="24.95" customHeight="1" x14ac:dyDescent="0.25">
      <c r="A188" s="355"/>
      <c r="B188" s="413" t="s">
        <v>1034</v>
      </c>
      <c r="C188" s="357" t="s">
        <v>92</v>
      </c>
      <c r="D188" s="358" t="s">
        <v>972</v>
      </c>
      <c r="E188" s="355">
        <v>70112</v>
      </c>
      <c r="F188" s="880" t="s">
        <v>918</v>
      </c>
      <c r="G188" s="360">
        <v>4608000000</v>
      </c>
      <c r="H188" s="360">
        <f>4608000000</f>
        <v>4608000000</v>
      </c>
    </row>
    <row r="189" spans="1:8" ht="24.95" customHeight="1" x14ac:dyDescent="0.25">
      <c r="A189" s="355"/>
      <c r="B189" s="403" t="s">
        <v>1035</v>
      </c>
      <c r="C189" s="357" t="s">
        <v>92</v>
      </c>
      <c r="D189" s="358" t="s">
        <v>972</v>
      </c>
      <c r="E189" s="355"/>
      <c r="F189" s="880"/>
      <c r="G189" s="414">
        <f>SUM(G187:G188)</f>
        <v>5008000000</v>
      </c>
      <c r="H189" s="415">
        <f>SUM(H187:H188)</f>
        <v>5008000000</v>
      </c>
    </row>
    <row r="190" spans="1:8" ht="72" customHeight="1" x14ac:dyDescent="0.25">
      <c r="A190" s="377"/>
      <c r="B190" s="377">
        <v>46</v>
      </c>
      <c r="C190" s="379"/>
      <c r="D190" s="380"/>
      <c r="E190" s="377"/>
      <c r="F190" s="880"/>
      <c r="G190" s="416"/>
      <c r="H190" s="416"/>
    </row>
    <row r="191" spans="1:8" ht="24.95" customHeight="1" x14ac:dyDescent="0.25">
      <c r="A191" s="355"/>
      <c r="B191" s="403" t="s">
        <v>1036</v>
      </c>
      <c r="C191" s="357"/>
      <c r="D191" s="358"/>
      <c r="E191" s="355"/>
      <c r="F191" s="355"/>
      <c r="G191" s="414"/>
      <c r="H191" s="414"/>
    </row>
    <row r="192" spans="1:8" ht="24.95" customHeight="1" x14ac:dyDescent="0.3">
      <c r="A192" s="355"/>
      <c r="B192" s="345" t="s">
        <v>29</v>
      </c>
      <c r="C192" s="417" t="s">
        <v>92</v>
      </c>
      <c r="D192" s="418" t="s">
        <v>972</v>
      </c>
      <c r="E192" s="419" t="s">
        <v>539</v>
      </c>
      <c r="F192" s="880" t="s">
        <v>918</v>
      </c>
      <c r="G192" s="420">
        <v>0</v>
      </c>
      <c r="H192" s="421"/>
    </row>
    <row r="193" spans="1:8" ht="24.95" customHeight="1" x14ac:dyDescent="0.25">
      <c r="A193" s="355">
        <v>41020201</v>
      </c>
      <c r="B193" s="345" t="s">
        <v>30</v>
      </c>
      <c r="C193" s="357" t="s">
        <v>92</v>
      </c>
      <c r="D193" s="358" t="s">
        <v>972</v>
      </c>
      <c r="E193" s="365" t="s">
        <v>539</v>
      </c>
      <c r="F193" s="880" t="s">
        <v>918</v>
      </c>
      <c r="G193" s="360">
        <v>16658755475</v>
      </c>
      <c r="H193" s="360">
        <f>16667696258.56-10000000000</f>
        <v>6667696258.5599995</v>
      </c>
    </row>
    <row r="194" spans="1:8" ht="24.95" customHeight="1" x14ac:dyDescent="0.25">
      <c r="A194" s="355">
        <v>41020301</v>
      </c>
      <c r="B194" s="345" t="s">
        <v>31</v>
      </c>
      <c r="C194" s="357" t="s">
        <v>92</v>
      </c>
      <c r="D194" s="358" t="s">
        <v>972</v>
      </c>
      <c r="E194" s="365" t="s">
        <v>539</v>
      </c>
      <c r="F194" s="880" t="s">
        <v>918</v>
      </c>
      <c r="G194" s="360">
        <v>300000000</v>
      </c>
      <c r="H194" s="360">
        <v>300000000</v>
      </c>
    </row>
    <row r="195" spans="1:8" ht="24.95" customHeight="1" x14ac:dyDescent="0.3">
      <c r="A195" s="355">
        <v>22040000</v>
      </c>
      <c r="B195" s="410" t="s">
        <v>1037</v>
      </c>
      <c r="C195" s="357"/>
      <c r="D195" s="358"/>
      <c r="E195" s="365"/>
      <c r="F195" s="357"/>
      <c r="G195" s="360"/>
      <c r="H195" s="421"/>
    </row>
    <row r="196" spans="1:8" ht="24.95" customHeight="1" x14ac:dyDescent="0.25">
      <c r="A196" s="355">
        <v>22040113</v>
      </c>
      <c r="B196" s="345" t="s">
        <v>1038</v>
      </c>
      <c r="C196" s="357" t="s">
        <v>92</v>
      </c>
      <c r="D196" s="358" t="s">
        <v>972</v>
      </c>
      <c r="E196" s="365" t="s">
        <v>539</v>
      </c>
      <c r="F196" s="880" t="s">
        <v>918</v>
      </c>
      <c r="G196" s="360">
        <v>4000000000</v>
      </c>
      <c r="H196" s="360">
        <f>4000000000</f>
        <v>4000000000</v>
      </c>
    </row>
    <row r="197" spans="1:8" ht="24.95" customHeight="1" x14ac:dyDescent="0.25">
      <c r="A197" s="355">
        <v>22040108</v>
      </c>
      <c r="B197" s="345" t="s">
        <v>1039</v>
      </c>
      <c r="C197" s="357" t="s">
        <v>92</v>
      </c>
      <c r="D197" s="358" t="s">
        <v>972</v>
      </c>
      <c r="E197" s="365" t="s">
        <v>539</v>
      </c>
      <c r="F197" s="880" t="s">
        <v>918</v>
      </c>
      <c r="G197" s="360">
        <v>120000000</v>
      </c>
      <c r="H197" s="360">
        <v>126000000</v>
      </c>
    </row>
    <row r="198" spans="1:8" ht="24.95" customHeight="1" x14ac:dyDescent="0.25">
      <c r="A198" s="411">
        <v>22040103</v>
      </c>
      <c r="B198" s="345" t="s">
        <v>1040</v>
      </c>
      <c r="C198" s="357" t="s">
        <v>92</v>
      </c>
      <c r="D198" s="358" t="s">
        <v>972</v>
      </c>
      <c r="E198" s="365" t="s">
        <v>539</v>
      </c>
      <c r="F198" s="880" t="s">
        <v>918</v>
      </c>
      <c r="G198" s="360">
        <v>3000000000</v>
      </c>
      <c r="H198" s="360">
        <f>3000000000</f>
        <v>3000000000</v>
      </c>
    </row>
    <row r="199" spans="1:8" ht="24.95" customHeight="1" x14ac:dyDescent="0.25">
      <c r="A199" s="355"/>
      <c r="B199" s="970" t="s">
        <v>1041</v>
      </c>
      <c r="C199" s="970"/>
      <c r="D199" s="970"/>
      <c r="E199" s="970"/>
      <c r="F199" s="970"/>
      <c r="G199" s="405">
        <f>SUM(G181,G185,G189,G192,G193,G194,G196,G197,G198)</f>
        <v>37315490246.160004</v>
      </c>
      <c r="H199" s="405">
        <f>SUM(H181,H185,H189,H192,H193,H194,H196,H197,H198)</f>
        <v>27368927190.559998</v>
      </c>
    </row>
    <row r="200" spans="1:8" ht="83.25" customHeight="1" x14ac:dyDescent="0.25">
      <c r="A200" s="377"/>
      <c r="B200" s="377">
        <v>47</v>
      </c>
      <c r="C200" s="377"/>
      <c r="D200" s="377"/>
      <c r="E200" s="377"/>
      <c r="F200" s="377"/>
      <c r="G200" s="377"/>
    </row>
  </sheetData>
  <mergeCells count="7">
    <mergeCell ref="B199:F199"/>
    <mergeCell ref="B42:F42"/>
    <mergeCell ref="B97:F97"/>
    <mergeCell ref="B109:F109"/>
    <mergeCell ref="B166:F166"/>
    <mergeCell ref="B168:F168"/>
    <mergeCell ref="B171:H171"/>
  </mergeCells>
  <conditionalFormatting sqref="I84">
    <cfRule type="expression" dxfId="499" priority="10">
      <formula>$P84=2</formula>
    </cfRule>
    <cfRule type="expression" dxfId="498" priority="11">
      <formula>$P84=1</formula>
    </cfRule>
  </conditionalFormatting>
  <conditionalFormatting sqref="B195 B186:B188 B182 B171 B173">
    <cfRule type="expression" dxfId="497" priority="8">
      <formula>#REF!=2</formula>
    </cfRule>
    <cfRule type="expression" dxfId="496" priority="9">
      <formula>#REF!=1</formula>
    </cfRule>
  </conditionalFormatting>
  <conditionalFormatting sqref="B192:B198">
    <cfRule type="expression" dxfId="495" priority="6">
      <formula>$O193=2</formula>
    </cfRule>
    <cfRule type="expression" dxfId="494" priority="7">
      <formula>$O193=1</formula>
    </cfRule>
  </conditionalFormatting>
  <conditionalFormatting sqref="B195 B186 B182">
    <cfRule type="expression" dxfId="493" priority="1">
      <formula>#REF!=2</formula>
    </cfRule>
    <cfRule type="expression" dxfId="492" priority="2">
      <formula>#REF!=1</formula>
    </cfRule>
  </conditionalFormatting>
  <dataValidations count="1">
    <dataValidation type="list" allowBlank="1" showInputMessage="1" showErrorMessage="1" sqref="B184:B188 B165 B163 B157:B159 B153 B155 B161 B123 B121 B125 B117 B113 B106 B102 B104 B108 B115 B119 B75 B64 B66 B62 B71 B68:B69 B73 B24:B25 B22 B20 B41 B37 B33 B29 B27 B31 B35 B39 B18 B14 B10 B4 B6 B8 B12 B16 B47:B48 B45 B50 B54 B52 B60 B56 B58 B96 B94 B89:B90 B85 B81 B77 B79 B83 B87 B92 B100 B144 B140 B138 B142 B127 B134 B129:B130 B132 B136 B150:B151 B146 B148" xr:uid="{00000000-0002-0000-0400-000000000000}">
      <formula1>PersonnelLU</formula1>
    </dataValidation>
  </dataValidations>
  <pageMargins left="1.07" right="0.18" top="1" bottom="0.54" header="0.5" footer="0.17"/>
  <pageSetup paperSize="9" scale="54" orientation="landscape" r:id="rId1"/>
  <headerFooter>
    <oddHeader>&amp;C&amp;14DELTA STATE GOVERNMENT OF NIGERIA
YEAR 2020 APPROVED PERSONNEL COSTS BUDGET</oddHeader>
  </headerFooter>
  <rowBreaks count="9" manualBreakCount="9">
    <brk id="25" max="9" man="1"/>
    <brk id="48" max="9" man="1"/>
    <brk id="69" max="9" man="1"/>
    <brk id="90" max="9" man="1"/>
    <brk id="110" max="9" man="1"/>
    <brk id="130" max="9" man="1"/>
    <brk id="151" max="9" man="1"/>
    <brk id="170" max="9" man="1"/>
    <brk id="190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Y1187"/>
  <sheetViews>
    <sheetView showGridLines="0" view="pageBreakPreview" topLeftCell="B1167" zoomScale="70" zoomScaleNormal="90" zoomScaleSheetLayoutView="70" zoomScalePageLayoutView="60" workbookViewId="0">
      <selection activeCell="N1180" sqref="N1180"/>
    </sheetView>
  </sheetViews>
  <sheetFormatPr defaultRowHeight="21" customHeight="1" x14ac:dyDescent="0.25"/>
  <cols>
    <col min="1" max="1" width="20.140625" style="501" hidden="1" customWidth="1"/>
    <col min="2" max="2" width="87.85546875" style="501" customWidth="1"/>
    <col min="3" max="3" width="13.28515625" style="863" customWidth="1"/>
    <col min="4" max="4" width="16" style="863" customWidth="1"/>
    <col min="5" max="5" width="14.28515625" style="501" customWidth="1"/>
    <col min="6" max="6" width="21.42578125" style="501" hidden="1" customWidth="1"/>
    <col min="7" max="7" width="23.7109375" style="501" customWidth="1"/>
    <col min="8" max="8" width="23.7109375" style="502" customWidth="1"/>
    <col min="9" max="9" width="22.7109375" style="425" customWidth="1"/>
    <col min="10" max="10" width="18.28515625" style="425" customWidth="1"/>
    <col min="11" max="16384" width="9.140625" style="426"/>
  </cols>
  <sheetData>
    <row r="1" spans="1:10" ht="43.5" customHeight="1" x14ac:dyDescent="0.25">
      <c r="A1" s="423" t="s">
        <v>1042</v>
      </c>
      <c r="B1" s="423" t="s">
        <v>1043</v>
      </c>
      <c r="C1" s="423" t="s">
        <v>911</v>
      </c>
      <c r="D1" s="423" t="s">
        <v>912</v>
      </c>
      <c r="E1" s="423" t="s">
        <v>89</v>
      </c>
      <c r="F1" s="423" t="s">
        <v>90</v>
      </c>
      <c r="G1" s="423" t="s">
        <v>913</v>
      </c>
      <c r="H1" s="423" t="s">
        <v>2073</v>
      </c>
      <c r="I1" s="424"/>
    </row>
    <row r="2" spans="1:10" s="427" customFormat="1" ht="37.5" customHeight="1" x14ac:dyDescent="0.25">
      <c r="A2" s="423"/>
      <c r="B2" s="706" t="s">
        <v>914</v>
      </c>
      <c r="C2" s="423" t="s">
        <v>911</v>
      </c>
      <c r="D2" s="423" t="s">
        <v>912</v>
      </c>
      <c r="E2" s="423" t="s">
        <v>89</v>
      </c>
      <c r="F2" s="423" t="s">
        <v>90</v>
      </c>
      <c r="G2" s="423"/>
      <c r="H2" s="423"/>
      <c r="I2" s="424"/>
      <c r="J2" s="424"/>
    </row>
    <row r="3" spans="1:10" ht="17.100000000000001" customHeight="1" x14ac:dyDescent="0.25">
      <c r="A3" s="707"/>
      <c r="B3" s="428" t="s">
        <v>1044</v>
      </c>
      <c r="C3" s="705"/>
      <c r="D3" s="705"/>
      <c r="E3" s="423"/>
      <c r="F3" s="437"/>
      <c r="G3" s="423"/>
      <c r="H3" s="423"/>
      <c r="I3" s="424"/>
    </row>
    <row r="4" spans="1:10" ht="17.100000000000001" customHeight="1" x14ac:dyDescent="0.25">
      <c r="A4" s="709">
        <v>11100020001</v>
      </c>
      <c r="B4" s="429" t="s">
        <v>1045</v>
      </c>
      <c r="C4" s="711" t="s">
        <v>92</v>
      </c>
      <c r="D4" s="712" t="s">
        <v>917</v>
      </c>
      <c r="E4" s="707">
        <v>70111</v>
      </c>
      <c r="F4" s="711" t="s">
        <v>1046</v>
      </c>
      <c r="G4" s="438">
        <f>7200000000-250000000</f>
        <v>6950000000</v>
      </c>
      <c r="H4" s="438">
        <f>7200000000-250000000</f>
        <v>6950000000</v>
      </c>
      <c r="I4" s="424"/>
    </row>
    <row r="5" spans="1:10" ht="17.100000000000001" customHeight="1" x14ac:dyDescent="0.25">
      <c r="A5" s="709">
        <v>11100020002</v>
      </c>
      <c r="B5" s="429" t="s">
        <v>1047</v>
      </c>
      <c r="C5" s="711" t="s">
        <v>92</v>
      </c>
      <c r="D5" s="712" t="s">
        <v>917</v>
      </c>
      <c r="E5" s="707">
        <v>70111</v>
      </c>
      <c r="F5" s="713" t="s">
        <v>1048</v>
      </c>
      <c r="G5" s="438">
        <v>374000000</v>
      </c>
      <c r="H5" s="438">
        <v>374000000</v>
      </c>
      <c r="I5" s="424"/>
    </row>
    <row r="6" spans="1:10" ht="17.100000000000001" customHeight="1" x14ac:dyDescent="0.25">
      <c r="A6" s="709">
        <v>11100020003</v>
      </c>
      <c r="B6" s="429" t="s">
        <v>1049</v>
      </c>
      <c r="C6" s="711" t="s">
        <v>92</v>
      </c>
      <c r="D6" s="712" t="s">
        <v>917</v>
      </c>
      <c r="E6" s="707">
        <v>70111</v>
      </c>
      <c r="F6" s="713" t="s">
        <v>1048</v>
      </c>
      <c r="G6" s="438">
        <v>90000000</v>
      </c>
      <c r="H6" s="438">
        <v>90000000</v>
      </c>
      <c r="I6" s="424"/>
    </row>
    <row r="7" spans="1:10" ht="17.100000000000001" customHeight="1" x14ac:dyDescent="0.25">
      <c r="A7" s="709">
        <v>11100020004</v>
      </c>
      <c r="B7" s="430" t="s">
        <v>1050</v>
      </c>
      <c r="C7" s="711" t="s">
        <v>92</v>
      </c>
      <c r="D7" s="712" t="s">
        <v>917</v>
      </c>
      <c r="E7" s="707">
        <v>70111</v>
      </c>
      <c r="F7" s="713" t="s">
        <v>1048</v>
      </c>
      <c r="G7" s="438">
        <v>600000000</v>
      </c>
      <c r="H7" s="438">
        <v>600000000</v>
      </c>
      <c r="I7" s="424"/>
    </row>
    <row r="8" spans="1:10" ht="17.100000000000001" customHeight="1" x14ac:dyDescent="0.25">
      <c r="A8" s="709">
        <v>11100020005</v>
      </c>
      <c r="B8" s="429" t="s">
        <v>1051</v>
      </c>
      <c r="C8" s="711" t="s">
        <v>92</v>
      </c>
      <c r="D8" s="712" t="s">
        <v>917</v>
      </c>
      <c r="E8" s="707">
        <v>70111</v>
      </c>
      <c r="F8" s="713" t="s">
        <v>1048</v>
      </c>
      <c r="G8" s="438">
        <v>800000000</v>
      </c>
      <c r="H8" s="438">
        <v>800000000</v>
      </c>
      <c r="I8" s="424"/>
    </row>
    <row r="9" spans="1:10" ht="17.100000000000001" customHeight="1" x14ac:dyDescent="0.25">
      <c r="A9" s="709">
        <v>11100020006</v>
      </c>
      <c r="B9" s="430" t="s">
        <v>1052</v>
      </c>
      <c r="C9" s="711" t="s">
        <v>92</v>
      </c>
      <c r="D9" s="712" t="s">
        <v>917</v>
      </c>
      <c r="E9" s="707">
        <v>70111</v>
      </c>
      <c r="F9" s="713" t="s">
        <v>1048</v>
      </c>
      <c r="G9" s="438">
        <v>373035417</v>
      </c>
      <c r="H9" s="438">
        <v>373035417</v>
      </c>
      <c r="I9" s="424"/>
    </row>
    <row r="10" spans="1:10" ht="17.100000000000001" customHeight="1" x14ac:dyDescent="0.25">
      <c r="A10" s="709">
        <v>11100020007</v>
      </c>
      <c r="B10" s="430" t="s">
        <v>1053</v>
      </c>
      <c r="C10" s="711" t="s">
        <v>92</v>
      </c>
      <c r="D10" s="712" t="s">
        <v>917</v>
      </c>
      <c r="E10" s="707">
        <v>70111</v>
      </c>
      <c r="F10" s="713" t="s">
        <v>1048</v>
      </c>
      <c r="G10" s="438">
        <v>102000000</v>
      </c>
      <c r="H10" s="438">
        <v>102000000</v>
      </c>
      <c r="I10" s="424"/>
    </row>
    <row r="11" spans="1:10" ht="17.100000000000001" customHeight="1" x14ac:dyDescent="0.25">
      <c r="A11" s="709">
        <v>11100020008</v>
      </c>
      <c r="B11" s="430" t="s">
        <v>1054</v>
      </c>
      <c r="C11" s="711" t="s">
        <v>92</v>
      </c>
      <c r="D11" s="712" t="s">
        <v>917</v>
      </c>
      <c r="E11" s="707">
        <v>70111</v>
      </c>
      <c r="F11" s="713" t="s">
        <v>1048</v>
      </c>
      <c r="G11" s="438">
        <v>839707000</v>
      </c>
      <c r="H11" s="438">
        <v>839707000</v>
      </c>
      <c r="I11" s="424"/>
    </row>
    <row r="12" spans="1:10" ht="17.100000000000001" customHeight="1" x14ac:dyDescent="0.25">
      <c r="A12" s="709">
        <v>11100020009</v>
      </c>
      <c r="B12" s="430" t="s">
        <v>1055</v>
      </c>
      <c r="C12" s="711" t="s">
        <v>92</v>
      </c>
      <c r="D12" s="712" t="s">
        <v>917</v>
      </c>
      <c r="E12" s="707">
        <v>70111</v>
      </c>
      <c r="F12" s="711" t="s">
        <v>1056</v>
      </c>
      <c r="G12" s="438">
        <v>266384917</v>
      </c>
      <c r="H12" s="438">
        <v>266384917</v>
      </c>
      <c r="I12" s="424"/>
    </row>
    <row r="13" spans="1:10" ht="17.100000000000001" customHeight="1" x14ac:dyDescent="0.25">
      <c r="A13" s="709">
        <v>11100020010</v>
      </c>
      <c r="B13" s="429" t="s">
        <v>1057</v>
      </c>
      <c r="C13" s="711" t="s">
        <v>92</v>
      </c>
      <c r="D13" s="712" t="s">
        <v>917</v>
      </c>
      <c r="E13" s="707">
        <v>70111</v>
      </c>
      <c r="F13" s="711" t="s">
        <v>1056</v>
      </c>
      <c r="G13" s="438">
        <v>960000</v>
      </c>
      <c r="H13" s="438">
        <v>960000</v>
      </c>
      <c r="I13" s="424"/>
    </row>
    <row r="14" spans="1:10" ht="17.100000000000001" customHeight="1" x14ac:dyDescent="0.25">
      <c r="A14" s="709">
        <v>11100020011</v>
      </c>
      <c r="B14" s="429" t="s">
        <v>1058</v>
      </c>
      <c r="C14" s="711" t="s">
        <v>92</v>
      </c>
      <c r="D14" s="712" t="s">
        <v>917</v>
      </c>
      <c r="E14" s="707">
        <v>70111</v>
      </c>
      <c r="F14" s="711" t="s">
        <v>1059</v>
      </c>
      <c r="G14" s="438">
        <v>240000000</v>
      </c>
      <c r="H14" s="438">
        <v>240000000</v>
      </c>
      <c r="I14" s="424"/>
    </row>
    <row r="15" spans="1:10" ht="17.100000000000001" customHeight="1" x14ac:dyDescent="0.25">
      <c r="A15" s="709">
        <v>11100020012</v>
      </c>
      <c r="B15" s="429" t="s">
        <v>1060</v>
      </c>
      <c r="C15" s="711" t="s">
        <v>92</v>
      </c>
      <c r="D15" s="712" t="s">
        <v>917</v>
      </c>
      <c r="E15" s="707">
        <v>70111</v>
      </c>
      <c r="F15" s="711" t="s">
        <v>1061</v>
      </c>
      <c r="G15" s="438">
        <v>50000000</v>
      </c>
      <c r="H15" s="438">
        <v>50000000</v>
      </c>
      <c r="I15" s="424"/>
    </row>
    <row r="16" spans="1:10" ht="17.100000000000001" customHeight="1" x14ac:dyDescent="0.25">
      <c r="A16" s="709">
        <v>11100020013</v>
      </c>
      <c r="B16" s="430" t="s">
        <v>1062</v>
      </c>
      <c r="C16" s="711" t="s">
        <v>92</v>
      </c>
      <c r="D16" s="712" t="s">
        <v>917</v>
      </c>
      <c r="E16" s="707">
        <v>70111</v>
      </c>
      <c r="F16" s="711" t="s">
        <v>1063</v>
      </c>
      <c r="G16" s="438">
        <v>3500000</v>
      </c>
      <c r="H16" s="438">
        <v>3500000</v>
      </c>
      <c r="I16" s="424"/>
    </row>
    <row r="17" spans="1:10" ht="17.100000000000001" customHeight="1" x14ac:dyDescent="0.25">
      <c r="A17" s="709">
        <v>11100020014</v>
      </c>
      <c r="B17" s="429" t="s">
        <v>1064</v>
      </c>
      <c r="C17" s="711" t="s">
        <v>92</v>
      </c>
      <c r="D17" s="712" t="s">
        <v>917</v>
      </c>
      <c r="E17" s="707">
        <v>70111</v>
      </c>
      <c r="F17" s="711" t="s">
        <v>1065</v>
      </c>
      <c r="G17" s="438">
        <v>1800000</v>
      </c>
      <c r="H17" s="438">
        <v>1800000</v>
      </c>
      <c r="I17" s="424"/>
    </row>
    <row r="18" spans="1:10" ht="17.100000000000001" customHeight="1" x14ac:dyDescent="0.25">
      <c r="A18" s="709">
        <v>11100020015</v>
      </c>
      <c r="B18" s="429" t="s">
        <v>1066</v>
      </c>
      <c r="C18" s="711" t="s">
        <v>92</v>
      </c>
      <c r="D18" s="712" t="s">
        <v>917</v>
      </c>
      <c r="E18" s="707">
        <v>70111</v>
      </c>
      <c r="F18" s="711" t="s">
        <v>1067</v>
      </c>
      <c r="G18" s="438">
        <v>350000</v>
      </c>
      <c r="H18" s="438">
        <v>350000</v>
      </c>
      <c r="I18" s="424"/>
    </row>
    <row r="19" spans="1:10" ht="17.100000000000001" customHeight="1" x14ac:dyDescent="0.25">
      <c r="A19" s="709">
        <v>11100020016</v>
      </c>
      <c r="B19" s="430" t="s">
        <v>1068</v>
      </c>
      <c r="C19" s="711" t="s">
        <v>92</v>
      </c>
      <c r="D19" s="712" t="s">
        <v>917</v>
      </c>
      <c r="E19" s="707">
        <v>70111</v>
      </c>
      <c r="F19" s="711" t="s">
        <v>1056</v>
      </c>
      <c r="G19" s="438">
        <v>22000000</v>
      </c>
      <c r="H19" s="438">
        <v>22000000</v>
      </c>
      <c r="I19" s="424"/>
    </row>
    <row r="20" spans="1:10" ht="17.100000000000001" customHeight="1" x14ac:dyDescent="0.25">
      <c r="A20" s="709">
        <v>11100020017</v>
      </c>
      <c r="B20" s="430" t="s">
        <v>1069</v>
      </c>
      <c r="C20" s="711" t="s">
        <v>92</v>
      </c>
      <c r="D20" s="712" t="s">
        <v>917</v>
      </c>
      <c r="E20" s="707">
        <v>70111</v>
      </c>
      <c r="F20" s="711" t="s">
        <v>1059</v>
      </c>
      <c r="G20" s="438">
        <v>50000000</v>
      </c>
      <c r="H20" s="438">
        <v>50000000</v>
      </c>
      <c r="I20" s="424"/>
    </row>
    <row r="21" spans="1:10" ht="17.100000000000001" customHeight="1" x14ac:dyDescent="0.25">
      <c r="A21" s="709">
        <v>11100020018</v>
      </c>
      <c r="B21" s="430" t="s">
        <v>1070</v>
      </c>
      <c r="C21" s="711" t="s">
        <v>92</v>
      </c>
      <c r="D21" s="712" t="s">
        <v>917</v>
      </c>
      <c r="E21" s="707">
        <v>70111</v>
      </c>
      <c r="F21" s="711" t="s">
        <v>1065</v>
      </c>
      <c r="G21" s="438">
        <v>1500000</v>
      </c>
      <c r="H21" s="438">
        <v>1500000</v>
      </c>
      <c r="I21" s="424"/>
    </row>
    <row r="22" spans="1:10" ht="17.100000000000001" customHeight="1" x14ac:dyDescent="0.25">
      <c r="A22" s="709">
        <v>11100020019</v>
      </c>
      <c r="B22" s="430" t="s">
        <v>1071</v>
      </c>
      <c r="C22" s="711" t="s">
        <v>92</v>
      </c>
      <c r="D22" s="712" t="s">
        <v>917</v>
      </c>
      <c r="E22" s="707">
        <v>70111</v>
      </c>
      <c r="F22" s="711" t="s">
        <v>1059</v>
      </c>
      <c r="G22" s="438">
        <v>2500000</v>
      </c>
      <c r="H22" s="438">
        <v>2500000</v>
      </c>
      <c r="I22" s="424"/>
    </row>
    <row r="23" spans="1:10" s="433" customFormat="1" ht="17.100000000000001" customHeight="1" x14ac:dyDescent="0.25">
      <c r="A23" s="714"/>
      <c r="B23" s="867" t="s">
        <v>1072</v>
      </c>
      <c r="C23" s="711" t="s">
        <v>92</v>
      </c>
      <c r="D23" s="712" t="s">
        <v>917</v>
      </c>
      <c r="E23" s="707"/>
      <c r="F23" s="714"/>
      <c r="G23" s="715">
        <f>SUM(G4:G22)</f>
        <v>10767737334</v>
      </c>
      <c r="H23" s="715">
        <f>SUM(H4:H22)</f>
        <v>10767737334</v>
      </c>
      <c r="I23" s="431"/>
      <c r="J23" s="432"/>
    </row>
    <row r="24" spans="1:10" ht="17.100000000000001" customHeight="1" x14ac:dyDescent="0.25">
      <c r="A24" s="709">
        <v>11100020020</v>
      </c>
      <c r="B24" s="430" t="s">
        <v>1073</v>
      </c>
      <c r="C24" s="711" t="s">
        <v>92</v>
      </c>
      <c r="D24" s="712" t="s">
        <v>917</v>
      </c>
      <c r="E24" s="707"/>
      <c r="F24" s="711"/>
      <c r="G24" s="716">
        <v>234076800</v>
      </c>
      <c r="H24" s="716">
        <v>234076900</v>
      </c>
      <c r="I24" s="434"/>
    </row>
    <row r="25" spans="1:10" s="433" customFormat="1" ht="17.100000000000001" customHeight="1" x14ac:dyDescent="0.25">
      <c r="A25" s="714"/>
      <c r="B25" s="867" t="s">
        <v>1074</v>
      </c>
      <c r="C25" s="711" t="s">
        <v>92</v>
      </c>
      <c r="D25" s="712" t="s">
        <v>917</v>
      </c>
      <c r="E25" s="707"/>
      <c r="F25" s="867"/>
      <c r="G25" s="716">
        <f>SUM(G23:G24)</f>
        <v>11001814134</v>
      </c>
      <c r="H25" s="716">
        <f>SUM(H23:H24)</f>
        <v>11001814234</v>
      </c>
      <c r="I25" s="435"/>
      <c r="J25" s="432"/>
    </row>
    <row r="26" spans="1:10" ht="17.100000000000001" customHeight="1" x14ac:dyDescent="0.25">
      <c r="A26" s="709">
        <v>11100020021</v>
      </c>
      <c r="B26" s="436" t="s">
        <v>1075</v>
      </c>
      <c r="C26" s="711" t="s">
        <v>92</v>
      </c>
      <c r="D26" s="712" t="s">
        <v>2253</v>
      </c>
      <c r="E26" s="707">
        <v>70111</v>
      </c>
      <c r="F26" s="711"/>
      <c r="G26" s="438">
        <v>50000000</v>
      </c>
      <c r="H26" s="716">
        <v>50000000</v>
      </c>
      <c r="I26" s="424"/>
    </row>
    <row r="27" spans="1:10" ht="17.100000000000001" customHeight="1" x14ac:dyDescent="0.25">
      <c r="A27" s="709">
        <v>11100020022</v>
      </c>
      <c r="B27" s="436" t="s">
        <v>1076</v>
      </c>
      <c r="C27" s="711" t="s">
        <v>92</v>
      </c>
      <c r="D27" s="712" t="s">
        <v>374</v>
      </c>
      <c r="E27" s="707">
        <v>70111</v>
      </c>
      <c r="F27" s="711"/>
      <c r="G27" s="438">
        <v>30000000</v>
      </c>
      <c r="H27" s="438">
        <f>30000000+15000000</f>
        <v>45000000</v>
      </c>
      <c r="I27" s="424"/>
    </row>
    <row r="28" spans="1:10" ht="17.100000000000001" customHeight="1" x14ac:dyDescent="0.25">
      <c r="A28" s="709">
        <v>11100020023</v>
      </c>
      <c r="B28" s="436" t="s">
        <v>1077</v>
      </c>
      <c r="C28" s="711" t="s">
        <v>92</v>
      </c>
      <c r="D28" s="712" t="s">
        <v>374</v>
      </c>
      <c r="E28" s="707">
        <v>70111</v>
      </c>
      <c r="F28" s="711"/>
      <c r="G28" s="438"/>
      <c r="H28" s="438">
        <v>6000000</v>
      </c>
      <c r="I28" s="424"/>
    </row>
    <row r="29" spans="1:10" ht="17.100000000000001" customHeight="1" x14ac:dyDescent="0.25">
      <c r="A29" s="709"/>
      <c r="B29" s="874" t="s">
        <v>1078</v>
      </c>
      <c r="C29" s="711"/>
      <c r="D29" s="712"/>
      <c r="E29" s="707"/>
      <c r="F29" s="711"/>
      <c r="G29" s="438"/>
      <c r="H29" s="716">
        <f>SUM(H27:H28)</f>
        <v>51000000</v>
      </c>
      <c r="I29" s="424"/>
    </row>
    <row r="30" spans="1:10" ht="60.75" customHeight="1" x14ac:dyDescent="0.25">
      <c r="A30" s="718"/>
      <c r="B30" s="719">
        <v>48</v>
      </c>
      <c r="C30" s="720"/>
      <c r="D30" s="721"/>
      <c r="E30" s="723"/>
      <c r="F30" s="722"/>
      <c r="G30" s="724"/>
      <c r="H30" s="725"/>
      <c r="I30" s="424"/>
    </row>
    <row r="31" spans="1:10" ht="16.5" customHeight="1" x14ac:dyDescent="0.25">
      <c r="A31" s="709"/>
      <c r="B31" s="437" t="s">
        <v>1079</v>
      </c>
      <c r="C31" s="711" t="s">
        <v>92</v>
      </c>
      <c r="D31" s="712"/>
      <c r="E31" s="707">
        <v>70111</v>
      </c>
      <c r="F31" s="711"/>
      <c r="G31" s="438"/>
      <c r="H31" s="716"/>
      <c r="I31" s="424"/>
    </row>
    <row r="32" spans="1:10" ht="17.100000000000001" customHeight="1" x14ac:dyDescent="0.25">
      <c r="A32" s="709">
        <v>11100020024</v>
      </c>
      <c r="B32" s="726" t="s">
        <v>2058</v>
      </c>
      <c r="C32" s="711" t="s">
        <v>92</v>
      </c>
      <c r="D32" s="712" t="s">
        <v>2254</v>
      </c>
      <c r="E32" s="707">
        <v>70111</v>
      </c>
      <c r="F32" s="711"/>
      <c r="G32" s="438">
        <v>17000000</v>
      </c>
      <c r="H32" s="438">
        <v>17000000</v>
      </c>
      <c r="I32" s="424"/>
    </row>
    <row r="33" spans="1:9" ht="17.100000000000001" customHeight="1" x14ac:dyDescent="0.25">
      <c r="A33" s="709">
        <v>11100020024</v>
      </c>
      <c r="B33" s="726" t="s">
        <v>2059</v>
      </c>
      <c r="C33" s="711" t="s">
        <v>92</v>
      </c>
      <c r="D33" s="712" t="s">
        <v>2254</v>
      </c>
      <c r="E33" s="707">
        <v>70111</v>
      </c>
      <c r="F33" s="711"/>
      <c r="G33" s="438">
        <v>6000000</v>
      </c>
      <c r="H33" s="438">
        <v>6000000</v>
      </c>
      <c r="I33" s="435"/>
    </row>
    <row r="34" spans="1:9" ht="17.100000000000001" customHeight="1" x14ac:dyDescent="0.25">
      <c r="A34" s="707"/>
      <c r="B34" s="874" t="s">
        <v>1080</v>
      </c>
      <c r="C34" s="711"/>
      <c r="D34" s="712"/>
      <c r="E34" s="707">
        <v>70111</v>
      </c>
      <c r="F34" s="711"/>
      <c r="G34" s="716">
        <f>SUM(G32:G33)</f>
        <v>23000000</v>
      </c>
      <c r="H34" s="716">
        <f>SUM(H32:H33)</f>
        <v>23000000</v>
      </c>
      <c r="I34" s="424"/>
    </row>
    <row r="35" spans="1:9" ht="17.100000000000001" customHeight="1" x14ac:dyDescent="0.25">
      <c r="A35" s="709">
        <v>11100020026</v>
      </c>
      <c r="B35" s="436" t="s">
        <v>1081</v>
      </c>
      <c r="C35" s="711" t="s">
        <v>92</v>
      </c>
      <c r="D35" s="712" t="s">
        <v>2255</v>
      </c>
      <c r="E35" s="707">
        <v>70111</v>
      </c>
      <c r="F35" s="711"/>
      <c r="G35" s="438">
        <v>15000000</v>
      </c>
      <c r="H35" s="716">
        <v>15000000</v>
      </c>
      <c r="I35" s="424"/>
    </row>
    <row r="36" spans="1:9" ht="17.100000000000001" customHeight="1" x14ac:dyDescent="0.25">
      <c r="A36" s="709">
        <v>11100020027</v>
      </c>
      <c r="B36" s="439" t="s">
        <v>1082</v>
      </c>
      <c r="C36" s="711" t="s">
        <v>92</v>
      </c>
      <c r="D36" s="712" t="s">
        <v>2256</v>
      </c>
      <c r="E36" s="707">
        <v>70111</v>
      </c>
      <c r="F36" s="711"/>
      <c r="G36" s="438">
        <v>15000000</v>
      </c>
      <c r="H36" s="716">
        <v>15000000</v>
      </c>
      <c r="I36" s="424"/>
    </row>
    <row r="37" spans="1:9" ht="17.100000000000001" customHeight="1" x14ac:dyDescent="0.25">
      <c r="A37" s="709">
        <v>11100020028</v>
      </c>
      <c r="B37" s="439" t="s">
        <v>1083</v>
      </c>
      <c r="C37" s="711" t="s">
        <v>92</v>
      </c>
      <c r="D37" s="712" t="s">
        <v>2256</v>
      </c>
      <c r="E37" s="707">
        <v>70111</v>
      </c>
      <c r="F37" s="711"/>
      <c r="G37" s="727">
        <v>15000000</v>
      </c>
      <c r="H37" s="440">
        <v>15000000</v>
      </c>
      <c r="I37" s="424"/>
    </row>
    <row r="38" spans="1:9" ht="17.100000000000001" customHeight="1" x14ac:dyDescent="0.25">
      <c r="A38" s="709"/>
      <c r="B38" s="872" t="s">
        <v>1084</v>
      </c>
      <c r="C38" s="711" t="s">
        <v>92</v>
      </c>
      <c r="D38" s="712" t="s">
        <v>2257</v>
      </c>
      <c r="E38" s="707">
        <v>70111</v>
      </c>
      <c r="F38" s="711"/>
      <c r="G38" s="727"/>
      <c r="H38" s="440"/>
      <c r="I38" s="424"/>
    </row>
    <row r="39" spans="1:9" ht="17.100000000000001" customHeight="1" x14ac:dyDescent="0.25">
      <c r="A39" s="709">
        <v>11100020029</v>
      </c>
      <c r="B39" s="439" t="s">
        <v>1047</v>
      </c>
      <c r="C39" s="711" t="s">
        <v>92</v>
      </c>
      <c r="D39" s="712" t="s">
        <v>917</v>
      </c>
      <c r="E39" s="707">
        <v>70111</v>
      </c>
      <c r="F39" s="711"/>
      <c r="G39" s="727"/>
      <c r="H39" s="440">
        <v>1000000</v>
      </c>
      <c r="I39" s="424"/>
    </row>
    <row r="40" spans="1:9" ht="17.100000000000001" customHeight="1" x14ac:dyDescent="0.25">
      <c r="A40" s="709">
        <v>11100020030</v>
      </c>
      <c r="B40" s="439" t="s">
        <v>1085</v>
      </c>
      <c r="C40" s="711" t="s">
        <v>92</v>
      </c>
      <c r="D40" s="712" t="s">
        <v>917</v>
      </c>
      <c r="E40" s="707">
        <v>70111</v>
      </c>
      <c r="F40" s="711"/>
      <c r="G40" s="727"/>
      <c r="H40" s="440">
        <v>100000</v>
      </c>
      <c r="I40" s="424"/>
    </row>
    <row r="41" spans="1:9" ht="17.100000000000001" customHeight="1" x14ac:dyDescent="0.25">
      <c r="A41" s="709">
        <v>11100020031</v>
      </c>
      <c r="B41" s="439" t="s">
        <v>1086</v>
      </c>
      <c r="C41" s="711" t="s">
        <v>92</v>
      </c>
      <c r="D41" s="712" t="s">
        <v>917</v>
      </c>
      <c r="E41" s="707">
        <v>70111</v>
      </c>
      <c r="F41" s="711"/>
      <c r="G41" s="727"/>
      <c r="H41" s="440">
        <v>600000</v>
      </c>
      <c r="I41" s="424"/>
    </row>
    <row r="42" spans="1:9" ht="17.100000000000001" customHeight="1" x14ac:dyDescent="0.25">
      <c r="A42" s="709">
        <v>11100020032</v>
      </c>
      <c r="B42" s="439" t="s">
        <v>1087</v>
      </c>
      <c r="C42" s="711" t="s">
        <v>92</v>
      </c>
      <c r="D42" s="712" t="s">
        <v>917</v>
      </c>
      <c r="E42" s="707">
        <v>70111</v>
      </c>
      <c r="F42" s="711"/>
      <c r="G42" s="727"/>
      <c r="H42" s="440">
        <v>2900000</v>
      </c>
      <c r="I42" s="424"/>
    </row>
    <row r="43" spans="1:9" ht="17.100000000000001" customHeight="1" x14ac:dyDescent="0.25">
      <c r="A43" s="709">
        <v>11100020033</v>
      </c>
      <c r="B43" s="439" t="s">
        <v>1071</v>
      </c>
      <c r="C43" s="711" t="s">
        <v>92</v>
      </c>
      <c r="D43" s="712" t="s">
        <v>917</v>
      </c>
      <c r="E43" s="707">
        <v>70111</v>
      </c>
      <c r="F43" s="711"/>
      <c r="G43" s="727"/>
      <c r="H43" s="440">
        <v>5600000</v>
      </c>
      <c r="I43" s="424"/>
    </row>
    <row r="44" spans="1:9" ht="17.100000000000001" customHeight="1" x14ac:dyDescent="0.25">
      <c r="A44" s="709">
        <v>11100020034</v>
      </c>
      <c r="B44" s="439" t="s">
        <v>1051</v>
      </c>
      <c r="C44" s="711" t="s">
        <v>92</v>
      </c>
      <c r="D44" s="712" t="s">
        <v>917</v>
      </c>
      <c r="E44" s="707">
        <v>70111</v>
      </c>
      <c r="F44" s="711"/>
      <c r="G44" s="727"/>
      <c r="H44" s="440">
        <v>1200000</v>
      </c>
      <c r="I44" s="424"/>
    </row>
    <row r="45" spans="1:9" ht="17.100000000000001" customHeight="1" x14ac:dyDescent="0.25">
      <c r="A45" s="709">
        <v>11100020035</v>
      </c>
      <c r="B45" s="439" t="s">
        <v>1088</v>
      </c>
      <c r="C45" s="711" t="s">
        <v>92</v>
      </c>
      <c r="D45" s="712" t="s">
        <v>917</v>
      </c>
      <c r="E45" s="707">
        <v>70111</v>
      </c>
      <c r="F45" s="711"/>
      <c r="G45" s="727"/>
      <c r="H45" s="440">
        <v>5000000</v>
      </c>
      <c r="I45" s="424"/>
    </row>
    <row r="46" spans="1:9" ht="17.100000000000001" customHeight="1" x14ac:dyDescent="0.25">
      <c r="A46" s="709">
        <v>11100020036</v>
      </c>
      <c r="B46" s="439" t="s">
        <v>1089</v>
      </c>
      <c r="C46" s="711" t="s">
        <v>92</v>
      </c>
      <c r="D46" s="712" t="s">
        <v>917</v>
      </c>
      <c r="E46" s="707">
        <v>70111</v>
      </c>
      <c r="F46" s="711"/>
      <c r="G46" s="727"/>
      <c r="H46" s="440">
        <v>1500000</v>
      </c>
      <c r="I46" s="424"/>
    </row>
    <row r="47" spans="1:9" ht="17.100000000000001" customHeight="1" x14ac:dyDescent="0.25">
      <c r="A47" s="709">
        <v>11100020037</v>
      </c>
      <c r="B47" s="439" t="s">
        <v>1090</v>
      </c>
      <c r="C47" s="711" t="s">
        <v>92</v>
      </c>
      <c r="D47" s="712" t="s">
        <v>917</v>
      </c>
      <c r="E47" s="707">
        <v>70111</v>
      </c>
      <c r="F47" s="711"/>
      <c r="G47" s="727"/>
      <c r="H47" s="440">
        <v>100000</v>
      </c>
      <c r="I47" s="424"/>
    </row>
    <row r="48" spans="1:9" ht="17.100000000000001" customHeight="1" x14ac:dyDescent="0.25">
      <c r="A48" s="709"/>
      <c r="B48" s="872" t="s">
        <v>1091</v>
      </c>
      <c r="C48" s="711"/>
      <c r="D48" s="712"/>
      <c r="E48" s="707">
        <v>70111</v>
      </c>
      <c r="F48" s="707"/>
      <c r="G48" s="728">
        <v>18000000</v>
      </c>
      <c r="H48" s="729">
        <f>SUM(H39:H47)</f>
        <v>18000000</v>
      </c>
      <c r="I48" s="424"/>
    </row>
    <row r="49" spans="1:9" ht="17.100000000000001" customHeight="1" x14ac:dyDescent="0.25">
      <c r="A49" s="709">
        <v>1110002003</v>
      </c>
      <c r="B49" s="439" t="s">
        <v>1092</v>
      </c>
      <c r="C49" s="711" t="s">
        <v>92</v>
      </c>
      <c r="D49" s="712" t="s">
        <v>2258</v>
      </c>
      <c r="E49" s="707">
        <v>70111</v>
      </c>
      <c r="F49" s="711"/>
      <c r="G49" s="438">
        <v>100000000</v>
      </c>
      <c r="H49" s="716">
        <v>172800000</v>
      </c>
      <c r="I49" s="424"/>
    </row>
    <row r="50" spans="1:9" ht="17.100000000000001" customHeight="1" x14ac:dyDescent="0.25">
      <c r="A50" s="709">
        <v>1110002003</v>
      </c>
      <c r="B50" s="439" t="s">
        <v>1093</v>
      </c>
      <c r="C50" s="711" t="s">
        <v>92</v>
      </c>
      <c r="D50" s="712" t="s">
        <v>2259</v>
      </c>
      <c r="E50" s="707">
        <v>70111</v>
      </c>
      <c r="F50" s="711"/>
      <c r="G50" s="438">
        <v>10000000</v>
      </c>
      <c r="H50" s="716">
        <v>10000000</v>
      </c>
      <c r="I50" s="424"/>
    </row>
    <row r="51" spans="1:9" ht="17.100000000000001" customHeight="1" x14ac:dyDescent="0.25">
      <c r="A51" s="709">
        <v>1110002003</v>
      </c>
      <c r="B51" s="439" t="s">
        <v>1094</v>
      </c>
      <c r="C51" s="711" t="s">
        <v>92</v>
      </c>
      <c r="D51" s="712" t="s">
        <v>1495</v>
      </c>
      <c r="E51" s="707">
        <v>70111</v>
      </c>
      <c r="F51" s="711"/>
      <c r="G51" s="438">
        <v>36000000</v>
      </c>
      <c r="H51" s="716"/>
      <c r="I51" s="424"/>
    </row>
    <row r="52" spans="1:9" ht="17.100000000000001" customHeight="1" x14ac:dyDescent="0.25">
      <c r="A52" s="709">
        <v>1110002003</v>
      </c>
      <c r="B52" s="436" t="s">
        <v>1095</v>
      </c>
      <c r="C52" s="711" t="s">
        <v>92</v>
      </c>
      <c r="D52" s="712" t="s">
        <v>2260</v>
      </c>
      <c r="E52" s="707">
        <v>70111</v>
      </c>
      <c r="F52" s="711"/>
      <c r="G52" s="438">
        <v>18000000</v>
      </c>
      <c r="H52" s="716">
        <v>18000000</v>
      </c>
      <c r="I52" s="424"/>
    </row>
    <row r="53" spans="1:9" ht="35.25" customHeight="1" x14ac:dyDescent="0.25">
      <c r="A53" s="709" t="s">
        <v>1096</v>
      </c>
      <c r="B53" s="439" t="s">
        <v>1097</v>
      </c>
      <c r="C53" s="711" t="s">
        <v>92</v>
      </c>
      <c r="D53" s="712" t="s">
        <v>2261</v>
      </c>
      <c r="E53" s="707">
        <v>70111</v>
      </c>
      <c r="F53" s="711"/>
      <c r="G53" s="438">
        <v>20000000</v>
      </c>
      <c r="H53" s="716">
        <v>20000000</v>
      </c>
      <c r="I53" s="424"/>
    </row>
    <row r="54" spans="1:9" ht="17.100000000000001" customHeight="1" x14ac:dyDescent="0.25">
      <c r="A54" s="709" t="s">
        <v>1098</v>
      </c>
      <c r="B54" s="439" t="s">
        <v>1099</v>
      </c>
      <c r="C54" s="711" t="s">
        <v>92</v>
      </c>
      <c r="D54" s="712" t="s">
        <v>2262</v>
      </c>
      <c r="E54" s="707">
        <v>70111</v>
      </c>
      <c r="F54" s="711"/>
      <c r="G54" s="438">
        <v>33500000</v>
      </c>
      <c r="H54" s="716">
        <v>33500000</v>
      </c>
      <c r="I54" s="424"/>
    </row>
    <row r="55" spans="1:9" ht="17.100000000000001" customHeight="1" x14ac:dyDescent="0.25">
      <c r="A55" s="709" t="s">
        <v>1100</v>
      </c>
      <c r="B55" s="726" t="s">
        <v>1101</v>
      </c>
      <c r="C55" s="711" t="s">
        <v>92</v>
      </c>
      <c r="D55" s="712" t="s">
        <v>1788</v>
      </c>
      <c r="E55" s="707">
        <v>70111</v>
      </c>
      <c r="F55" s="711"/>
      <c r="G55" s="438">
        <v>80000000</v>
      </c>
      <c r="H55" s="438">
        <v>80000000</v>
      </c>
      <c r="I55" s="424"/>
    </row>
    <row r="56" spans="1:9" ht="17.100000000000001" customHeight="1" x14ac:dyDescent="0.25">
      <c r="A56" s="709" t="s">
        <v>1102</v>
      </c>
      <c r="B56" s="726" t="s">
        <v>1103</v>
      </c>
      <c r="C56" s="711" t="s">
        <v>92</v>
      </c>
      <c r="D56" s="712" t="s">
        <v>1788</v>
      </c>
      <c r="E56" s="707">
        <v>70111</v>
      </c>
      <c r="F56" s="711"/>
      <c r="G56" s="438">
        <v>45000000</v>
      </c>
      <c r="H56" s="438">
        <v>45000000</v>
      </c>
      <c r="I56" s="441"/>
    </row>
    <row r="57" spans="1:9" ht="17.100000000000001" customHeight="1" x14ac:dyDescent="0.25">
      <c r="A57" s="707"/>
      <c r="B57" s="874" t="s">
        <v>717</v>
      </c>
      <c r="C57" s="711"/>
      <c r="D57" s="712"/>
      <c r="E57" s="707">
        <v>70111</v>
      </c>
      <c r="F57" s="711"/>
      <c r="G57" s="716">
        <f>SUM(G55:G56)</f>
        <v>125000000</v>
      </c>
      <c r="H57" s="716">
        <f>SUM(H55:H56)</f>
        <v>125000000</v>
      </c>
      <c r="I57" s="424"/>
    </row>
    <row r="58" spans="1:9" ht="74.25" customHeight="1" x14ac:dyDescent="0.25">
      <c r="A58" s="723"/>
      <c r="B58" s="442">
        <v>49</v>
      </c>
      <c r="C58" s="722"/>
      <c r="D58" s="721"/>
      <c r="E58" s="723"/>
      <c r="F58" s="722"/>
      <c r="G58" s="725"/>
      <c r="H58" s="725"/>
      <c r="I58" s="424"/>
    </row>
    <row r="59" spans="1:9" ht="20.25" customHeight="1" x14ac:dyDescent="0.25">
      <c r="A59" s="707"/>
      <c r="B59" s="437" t="s">
        <v>1079</v>
      </c>
      <c r="C59" s="711"/>
      <c r="D59" s="717"/>
      <c r="E59" s="707">
        <v>70111</v>
      </c>
      <c r="F59" s="711"/>
      <c r="G59" s="716"/>
      <c r="H59" s="716"/>
      <c r="I59" s="424"/>
    </row>
    <row r="60" spans="1:9" ht="17.100000000000001" customHeight="1" x14ac:dyDescent="0.25">
      <c r="A60" s="709" t="s">
        <v>1104</v>
      </c>
      <c r="B60" s="439" t="s">
        <v>1105</v>
      </c>
      <c r="C60" s="711" t="s">
        <v>92</v>
      </c>
      <c r="D60" s="712" t="s">
        <v>2263</v>
      </c>
      <c r="E60" s="707">
        <v>70111</v>
      </c>
      <c r="F60" s="711"/>
      <c r="G60" s="438">
        <v>80000000</v>
      </c>
      <c r="H60" s="716">
        <v>80000000</v>
      </c>
      <c r="I60" s="424"/>
    </row>
    <row r="61" spans="1:9" ht="17.100000000000001" customHeight="1" x14ac:dyDescent="0.25">
      <c r="A61" s="709" t="s">
        <v>1106</v>
      </c>
      <c r="B61" s="439" t="s">
        <v>1107</v>
      </c>
      <c r="C61" s="711" t="s">
        <v>92</v>
      </c>
      <c r="D61" s="712" t="s">
        <v>2264</v>
      </c>
      <c r="E61" s="707">
        <v>70111</v>
      </c>
      <c r="F61" s="711"/>
      <c r="G61" s="438">
        <v>5000000</v>
      </c>
      <c r="H61" s="716">
        <v>5000000</v>
      </c>
      <c r="I61" s="424"/>
    </row>
    <row r="62" spans="1:9" ht="17.100000000000001" customHeight="1" x14ac:dyDescent="0.25">
      <c r="A62" s="709" t="s">
        <v>1108</v>
      </c>
      <c r="B62" s="443" t="s">
        <v>1109</v>
      </c>
      <c r="C62" s="711" t="s">
        <v>92</v>
      </c>
      <c r="D62" s="712" t="s">
        <v>2265</v>
      </c>
      <c r="E62" s="707">
        <v>70111</v>
      </c>
      <c r="F62" s="711"/>
      <c r="G62" s="438">
        <v>15000000</v>
      </c>
      <c r="H62" s="716">
        <v>15000000</v>
      </c>
      <c r="I62" s="424"/>
    </row>
    <row r="63" spans="1:9" ht="17.100000000000001" customHeight="1" x14ac:dyDescent="0.25">
      <c r="A63" s="709" t="s">
        <v>1110</v>
      </c>
      <c r="B63" s="439" t="s">
        <v>1111</v>
      </c>
      <c r="C63" s="711" t="s">
        <v>92</v>
      </c>
      <c r="D63" s="712" t="s">
        <v>2266</v>
      </c>
      <c r="E63" s="707">
        <v>70111</v>
      </c>
      <c r="F63" s="711"/>
      <c r="G63" s="438">
        <v>15000000</v>
      </c>
      <c r="H63" s="716">
        <v>15000000</v>
      </c>
      <c r="I63" s="424"/>
    </row>
    <row r="64" spans="1:9" ht="17.100000000000001" customHeight="1" x14ac:dyDescent="0.25">
      <c r="A64" s="709" t="s">
        <v>1112</v>
      </c>
      <c r="B64" s="439" t="s">
        <v>1113</v>
      </c>
      <c r="C64" s="711" t="s">
        <v>92</v>
      </c>
      <c r="D64" s="712" t="s">
        <v>2267</v>
      </c>
      <c r="E64" s="707">
        <v>70111</v>
      </c>
      <c r="F64" s="711"/>
      <c r="G64" s="438">
        <v>30000000</v>
      </c>
      <c r="H64" s="716">
        <v>30000000</v>
      </c>
      <c r="I64" s="424"/>
    </row>
    <row r="65" spans="1:9" ht="17.100000000000001" customHeight="1" x14ac:dyDescent="0.25">
      <c r="A65" s="709" t="s">
        <v>1114</v>
      </c>
      <c r="B65" s="439" t="s">
        <v>1115</v>
      </c>
      <c r="C65" s="711" t="s">
        <v>92</v>
      </c>
      <c r="D65" s="712" t="s">
        <v>2268</v>
      </c>
      <c r="E65" s="707">
        <v>70111</v>
      </c>
      <c r="F65" s="711"/>
      <c r="G65" s="438">
        <v>10000000</v>
      </c>
      <c r="H65" s="716">
        <v>10000000</v>
      </c>
      <c r="I65" s="424"/>
    </row>
    <row r="66" spans="1:9" ht="17.100000000000001" customHeight="1" x14ac:dyDescent="0.25">
      <c r="A66" s="709" t="s">
        <v>1116</v>
      </c>
      <c r="B66" s="439" t="s">
        <v>1117</v>
      </c>
      <c r="C66" s="711" t="s">
        <v>92</v>
      </c>
      <c r="D66" s="712" t="s">
        <v>2269</v>
      </c>
      <c r="E66" s="707">
        <v>70111</v>
      </c>
      <c r="F66" s="711"/>
      <c r="G66" s="438">
        <v>10000000</v>
      </c>
      <c r="H66" s="716">
        <v>10000000</v>
      </c>
      <c r="I66" s="424"/>
    </row>
    <row r="67" spans="1:9" ht="17.100000000000001" customHeight="1" x14ac:dyDescent="0.25">
      <c r="A67" s="709" t="s">
        <v>1118</v>
      </c>
      <c r="B67" s="439" t="s">
        <v>1119</v>
      </c>
      <c r="C67" s="711" t="s">
        <v>92</v>
      </c>
      <c r="D67" s="712" t="s">
        <v>2014</v>
      </c>
      <c r="E67" s="707">
        <v>70111</v>
      </c>
      <c r="F67" s="711"/>
      <c r="G67" s="438">
        <v>10000000</v>
      </c>
      <c r="H67" s="716">
        <v>10000000</v>
      </c>
      <c r="I67" s="424"/>
    </row>
    <row r="68" spans="1:9" ht="17.100000000000001" customHeight="1" x14ac:dyDescent="0.25">
      <c r="A68" s="709" t="s">
        <v>1120</v>
      </c>
      <c r="B68" s="439" t="s">
        <v>1121</v>
      </c>
      <c r="C68" s="711" t="s">
        <v>92</v>
      </c>
      <c r="D68" s="712" t="s">
        <v>2270</v>
      </c>
      <c r="E68" s="707">
        <v>70111</v>
      </c>
      <c r="F68" s="711"/>
      <c r="G68" s="438">
        <v>10000000</v>
      </c>
      <c r="H68" s="716">
        <v>10000000</v>
      </c>
      <c r="I68" s="424"/>
    </row>
    <row r="69" spans="1:9" ht="17.100000000000001" customHeight="1" x14ac:dyDescent="0.25">
      <c r="A69" s="709" t="s">
        <v>1122</v>
      </c>
      <c r="B69" s="436" t="s">
        <v>1123</v>
      </c>
      <c r="C69" s="711" t="s">
        <v>92</v>
      </c>
      <c r="D69" s="712" t="s">
        <v>2271</v>
      </c>
      <c r="E69" s="707">
        <v>70111</v>
      </c>
      <c r="F69" s="711"/>
      <c r="G69" s="438">
        <v>10000000</v>
      </c>
      <c r="H69" s="716">
        <v>10000000</v>
      </c>
      <c r="I69" s="424"/>
    </row>
    <row r="70" spans="1:9" ht="17.100000000000001" customHeight="1" x14ac:dyDescent="0.25">
      <c r="A70" s="709" t="s">
        <v>1124</v>
      </c>
      <c r="B70" s="439" t="s">
        <v>1125</v>
      </c>
      <c r="C70" s="711" t="s">
        <v>92</v>
      </c>
      <c r="D70" s="712" t="s">
        <v>2273</v>
      </c>
      <c r="E70" s="707">
        <v>70111</v>
      </c>
      <c r="F70" s="711"/>
      <c r="G70" s="438">
        <v>40000000</v>
      </c>
      <c r="H70" s="716">
        <v>40000000</v>
      </c>
      <c r="I70" s="424"/>
    </row>
    <row r="71" spans="1:9" ht="21" customHeight="1" x14ac:dyDescent="0.25">
      <c r="A71" s="709" t="s">
        <v>1126</v>
      </c>
      <c r="B71" s="439" t="s">
        <v>1127</v>
      </c>
      <c r="C71" s="711" t="s">
        <v>92</v>
      </c>
      <c r="D71" s="712" t="s">
        <v>2272</v>
      </c>
      <c r="E71" s="707">
        <v>70111</v>
      </c>
      <c r="F71" s="711"/>
      <c r="G71" s="438">
        <v>20000000</v>
      </c>
      <c r="H71" s="716">
        <v>20000000</v>
      </c>
      <c r="I71" s="441"/>
    </row>
    <row r="72" spans="1:9" ht="23.25" customHeight="1" x14ac:dyDescent="0.25">
      <c r="A72" s="707"/>
      <c r="B72" s="730" t="s">
        <v>1128</v>
      </c>
      <c r="C72" s="712"/>
      <c r="D72" s="712"/>
      <c r="E72" s="732"/>
      <c r="F72" s="732"/>
      <c r="G72" s="732"/>
      <c r="H72" s="707"/>
      <c r="I72" s="441"/>
    </row>
    <row r="73" spans="1:9" ht="21" customHeight="1" x14ac:dyDescent="0.25">
      <c r="A73" s="733">
        <v>11120019001</v>
      </c>
      <c r="B73" s="734" t="s">
        <v>1129</v>
      </c>
      <c r="C73" s="711" t="s">
        <v>92</v>
      </c>
      <c r="D73" s="712" t="s">
        <v>1130</v>
      </c>
      <c r="E73" s="707">
        <v>70111</v>
      </c>
      <c r="F73" s="713" t="s">
        <v>1048</v>
      </c>
      <c r="G73" s="438">
        <v>4200000</v>
      </c>
      <c r="H73" s="438">
        <v>5580000</v>
      </c>
      <c r="I73" s="424"/>
    </row>
    <row r="74" spans="1:9" ht="21" customHeight="1" x14ac:dyDescent="0.25">
      <c r="A74" s="733">
        <v>11120019002</v>
      </c>
      <c r="B74" s="734" t="s">
        <v>1131</v>
      </c>
      <c r="C74" s="711" t="s">
        <v>92</v>
      </c>
      <c r="D74" s="712" t="s">
        <v>1130</v>
      </c>
      <c r="E74" s="707">
        <v>70111</v>
      </c>
      <c r="F74" s="713" t="s">
        <v>1048</v>
      </c>
      <c r="G74" s="438">
        <v>1000000</v>
      </c>
      <c r="H74" s="438">
        <v>4500000</v>
      </c>
      <c r="I74" s="424"/>
    </row>
    <row r="75" spans="1:9" ht="21" customHeight="1" x14ac:dyDescent="0.25">
      <c r="A75" s="733">
        <v>11120019003</v>
      </c>
      <c r="B75" s="734" t="s">
        <v>1132</v>
      </c>
      <c r="C75" s="711" t="s">
        <v>92</v>
      </c>
      <c r="D75" s="712" t="s">
        <v>1130</v>
      </c>
      <c r="E75" s="707">
        <v>70111</v>
      </c>
      <c r="F75" s="713" t="s">
        <v>1048</v>
      </c>
      <c r="G75" s="438">
        <v>1000000</v>
      </c>
      <c r="H75" s="438">
        <v>1300000</v>
      </c>
      <c r="I75" s="424"/>
    </row>
    <row r="76" spans="1:9" ht="21" customHeight="1" x14ac:dyDescent="0.25">
      <c r="A76" s="733">
        <v>11120019004</v>
      </c>
      <c r="B76" s="734" t="s">
        <v>1133</v>
      </c>
      <c r="C76" s="711" t="s">
        <v>92</v>
      </c>
      <c r="D76" s="712" t="s">
        <v>1130</v>
      </c>
      <c r="E76" s="707">
        <v>70111</v>
      </c>
      <c r="F76" s="713" t="s">
        <v>1048</v>
      </c>
      <c r="G76" s="438">
        <v>1000000</v>
      </c>
      <c r="H76" s="438">
        <v>1300000</v>
      </c>
      <c r="I76" s="424"/>
    </row>
    <row r="77" spans="1:9" ht="21" customHeight="1" x14ac:dyDescent="0.25">
      <c r="A77" s="733">
        <v>11120019005</v>
      </c>
      <c r="B77" s="734" t="s">
        <v>1134</v>
      </c>
      <c r="C77" s="711" t="s">
        <v>92</v>
      </c>
      <c r="D77" s="712" t="s">
        <v>1130</v>
      </c>
      <c r="E77" s="707">
        <v>70111</v>
      </c>
      <c r="F77" s="713" t="s">
        <v>1048</v>
      </c>
      <c r="G77" s="438">
        <v>1380000</v>
      </c>
      <c r="H77" s="438">
        <v>1900000</v>
      </c>
      <c r="I77" s="424"/>
    </row>
    <row r="78" spans="1:9" ht="21" customHeight="1" x14ac:dyDescent="0.25">
      <c r="A78" s="733">
        <v>11120019006</v>
      </c>
      <c r="B78" s="734" t="s">
        <v>1135</v>
      </c>
      <c r="C78" s="711" t="s">
        <v>92</v>
      </c>
      <c r="D78" s="712" t="s">
        <v>1130</v>
      </c>
      <c r="E78" s="707">
        <v>70111</v>
      </c>
      <c r="F78" s="713" t="s">
        <v>1048</v>
      </c>
      <c r="G78" s="438">
        <v>5000000</v>
      </c>
      <c r="H78" s="438">
        <v>7920000</v>
      </c>
      <c r="I78" s="424"/>
    </row>
    <row r="79" spans="1:9" ht="21" customHeight="1" x14ac:dyDescent="0.25">
      <c r="A79" s="733">
        <v>11120019007</v>
      </c>
      <c r="B79" s="734" t="s">
        <v>1136</v>
      </c>
      <c r="C79" s="711" t="s">
        <v>92</v>
      </c>
      <c r="D79" s="712" t="s">
        <v>1130</v>
      </c>
      <c r="E79" s="707">
        <v>70111</v>
      </c>
      <c r="F79" s="713" t="s">
        <v>1048</v>
      </c>
      <c r="G79" s="438">
        <v>3000000</v>
      </c>
      <c r="H79" s="438">
        <v>3300000</v>
      </c>
      <c r="I79" s="424"/>
    </row>
    <row r="80" spans="1:9" ht="21" customHeight="1" x14ac:dyDescent="0.25">
      <c r="A80" s="733">
        <v>11120019008</v>
      </c>
      <c r="B80" s="734" t="s">
        <v>1137</v>
      </c>
      <c r="C80" s="711" t="s">
        <v>92</v>
      </c>
      <c r="D80" s="712" t="s">
        <v>1130</v>
      </c>
      <c r="E80" s="707">
        <v>70111</v>
      </c>
      <c r="F80" s="713" t="s">
        <v>1048</v>
      </c>
      <c r="G80" s="438">
        <v>3000000</v>
      </c>
      <c r="H80" s="438">
        <v>3300000</v>
      </c>
      <c r="I80" s="424"/>
    </row>
    <row r="81" spans="1:9" ht="21" customHeight="1" x14ac:dyDescent="0.25">
      <c r="A81" s="733">
        <v>11120019009</v>
      </c>
      <c r="B81" s="734" t="s">
        <v>1138</v>
      </c>
      <c r="C81" s="711" t="s">
        <v>92</v>
      </c>
      <c r="D81" s="712" t="s">
        <v>1130</v>
      </c>
      <c r="E81" s="707">
        <v>70111</v>
      </c>
      <c r="F81" s="713" t="s">
        <v>1048</v>
      </c>
      <c r="G81" s="438">
        <v>2000000</v>
      </c>
      <c r="H81" s="438">
        <v>2300000</v>
      </c>
      <c r="I81" s="424"/>
    </row>
    <row r="82" spans="1:9" ht="21" customHeight="1" x14ac:dyDescent="0.25">
      <c r="A82" s="733">
        <v>11120019010</v>
      </c>
      <c r="B82" s="734" t="s">
        <v>1139</v>
      </c>
      <c r="C82" s="711" t="s">
        <v>92</v>
      </c>
      <c r="D82" s="712" t="s">
        <v>1130</v>
      </c>
      <c r="E82" s="707">
        <v>70111</v>
      </c>
      <c r="F82" s="713" t="s">
        <v>1048</v>
      </c>
      <c r="G82" s="438">
        <v>3000000</v>
      </c>
      <c r="H82" s="438">
        <v>3300000</v>
      </c>
      <c r="I82" s="424"/>
    </row>
    <row r="83" spans="1:9" ht="21" customHeight="1" x14ac:dyDescent="0.25">
      <c r="A83" s="733">
        <v>11120019011</v>
      </c>
      <c r="B83" s="734" t="s">
        <v>1140</v>
      </c>
      <c r="C83" s="711" t="s">
        <v>92</v>
      </c>
      <c r="D83" s="712" t="s">
        <v>1130</v>
      </c>
      <c r="E83" s="707">
        <v>70111</v>
      </c>
      <c r="F83" s="711" t="s">
        <v>1141</v>
      </c>
      <c r="G83" s="438">
        <v>1000000</v>
      </c>
      <c r="H83" s="438">
        <v>1300000</v>
      </c>
      <c r="I83" s="424"/>
    </row>
    <row r="84" spans="1:9" ht="21" customHeight="1" x14ac:dyDescent="0.25">
      <c r="A84" s="733">
        <v>11120019012</v>
      </c>
      <c r="B84" s="734" t="s">
        <v>1142</v>
      </c>
      <c r="C84" s="711" t="s">
        <v>92</v>
      </c>
      <c r="D84" s="712" t="s">
        <v>1130</v>
      </c>
      <c r="E84" s="707">
        <v>70111</v>
      </c>
      <c r="F84" s="711" t="s">
        <v>1143</v>
      </c>
      <c r="G84" s="438">
        <v>4000000</v>
      </c>
      <c r="H84" s="438">
        <v>4300000</v>
      </c>
      <c r="I84" s="424"/>
    </row>
    <row r="85" spans="1:9" ht="21" customHeight="1" x14ac:dyDescent="0.25">
      <c r="A85" s="733">
        <v>11120019013</v>
      </c>
      <c r="B85" s="734" t="s">
        <v>1144</v>
      </c>
      <c r="C85" s="711" t="s">
        <v>92</v>
      </c>
      <c r="D85" s="712" t="s">
        <v>1130</v>
      </c>
      <c r="E85" s="707">
        <v>70111</v>
      </c>
      <c r="F85" s="713" t="s">
        <v>1048</v>
      </c>
      <c r="G85" s="438">
        <v>19000000</v>
      </c>
      <c r="H85" s="438">
        <v>9300000</v>
      </c>
      <c r="I85" s="424"/>
    </row>
    <row r="86" spans="1:9" ht="21" customHeight="1" x14ac:dyDescent="0.25">
      <c r="A86" s="733">
        <v>11120019014</v>
      </c>
      <c r="B86" s="734" t="s">
        <v>1085</v>
      </c>
      <c r="C86" s="711" t="s">
        <v>92</v>
      </c>
      <c r="D86" s="712" t="s">
        <v>1130</v>
      </c>
      <c r="E86" s="707">
        <v>70111</v>
      </c>
      <c r="F86" s="713" t="s">
        <v>1048</v>
      </c>
      <c r="G86" s="438">
        <v>2000000</v>
      </c>
      <c r="H86" s="438">
        <v>2300000</v>
      </c>
      <c r="I86" s="424"/>
    </row>
    <row r="87" spans="1:9" ht="21" customHeight="1" x14ac:dyDescent="0.25">
      <c r="A87" s="733">
        <v>11120019015</v>
      </c>
      <c r="B87" s="734" t="s">
        <v>1145</v>
      </c>
      <c r="C87" s="711" t="s">
        <v>92</v>
      </c>
      <c r="D87" s="712" t="s">
        <v>1130</v>
      </c>
      <c r="E87" s="707">
        <v>70111</v>
      </c>
      <c r="F87" s="711" t="s">
        <v>1056</v>
      </c>
      <c r="G87" s="438">
        <v>13000000</v>
      </c>
      <c r="H87" s="438">
        <v>3400000</v>
      </c>
      <c r="I87" s="424"/>
    </row>
    <row r="88" spans="1:9" ht="64.5" customHeight="1" x14ac:dyDescent="0.25">
      <c r="A88" s="735"/>
      <c r="B88" s="736">
        <v>50</v>
      </c>
      <c r="C88" s="722"/>
      <c r="D88" s="720"/>
      <c r="E88" s="723"/>
      <c r="F88" s="722"/>
      <c r="G88" s="724"/>
      <c r="H88" s="724"/>
      <c r="I88" s="424"/>
    </row>
    <row r="89" spans="1:9" ht="18.75" customHeight="1" x14ac:dyDescent="0.25">
      <c r="A89" s="733"/>
      <c r="B89" s="737" t="s">
        <v>1146</v>
      </c>
      <c r="C89" s="711"/>
      <c r="D89" s="712"/>
      <c r="E89" s="707"/>
      <c r="F89" s="711"/>
      <c r="G89" s="438"/>
      <c r="H89" s="438"/>
      <c r="I89" s="424"/>
    </row>
    <row r="90" spans="1:9" ht="21" customHeight="1" x14ac:dyDescent="0.25">
      <c r="A90" s="733">
        <v>11120019016</v>
      </c>
      <c r="B90" s="734" t="s">
        <v>1147</v>
      </c>
      <c r="C90" s="711" t="s">
        <v>92</v>
      </c>
      <c r="D90" s="712" t="s">
        <v>1130</v>
      </c>
      <c r="E90" s="707">
        <v>70111</v>
      </c>
      <c r="F90" s="711" t="s">
        <v>1056</v>
      </c>
      <c r="G90" s="438">
        <v>6000000</v>
      </c>
      <c r="H90" s="438">
        <v>6500000</v>
      </c>
      <c r="I90" s="424"/>
    </row>
    <row r="91" spans="1:9" ht="21" customHeight="1" x14ac:dyDescent="0.25">
      <c r="A91" s="733">
        <v>11120019017</v>
      </c>
      <c r="B91" s="734" t="s">
        <v>1148</v>
      </c>
      <c r="C91" s="711" t="s">
        <v>92</v>
      </c>
      <c r="D91" s="712" t="s">
        <v>1130</v>
      </c>
      <c r="E91" s="707">
        <v>70111</v>
      </c>
      <c r="F91" s="713" t="s">
        <v>1048</v>
      </c>
      <c r="G91" s="438">
        <v>6000000</v>
      </c>
      <c r="H91" s="438">
        <v>6400000</v>
      </c>
      <c r="I91" s="424"/>
    </row>
    <row r="92" spans="1:9" ht="21" customHeight="1" x14ac:dyDescent="0.25">
      <c r="A92" s="733">
        <v>11120019018</v>
      </c>
      <c r="B92" s="734" t="s">
        <v>1086</v>
      </c>
      <c r="C92" s="711" t="s">
        <v>92</v>
      </c>
      <c r="D92" s="712" t="s">
        <v>1130</v>
      </c>
      <c r="E92" s="707">
        <v>70111</v>
      </c>
      <c r="F92" s="713" t="s">
        <v>1048</v>
      </c>
      <c r="G92" s="438">
        <v>2000000</v>
      </c>
      <c r="H92" s="438">
        <v>2500000</v>
      </c>
      <c r="I92" s="424"/>
    </row>
    <row r="93" spans="1:9" ht="21" customHeight="1" x14ac:dyDescent="0.25">
      <c r="A93" s="733">
        <v>11120019019</v>
      </c>
      <c r="B93" s="734" t="s">
        <v>1149</v>
      </c>
      <c r="C93" s="711" t="s">
        <v>92</v>
      </c>
      <c r="D93" s="712" t="s">
        <v>1130</v>
      </c>
      <c r="E93" s="707">
        <v>70111</v>
      </c>
      <c r="F93" s="713" t="s">
        <v>1048</v>
      </c>
      <c r="G93" s="438">
        <v>2000000</v>
      </c>
      <c r="H93" s="438">
        <v>2400000</v>
      </c>
      <c r="I93" s="424"/>
    </row>
    <row r="94" spans="1:9" ht="21" customHeight="1" x14ac:dyDescent="0.25">
      <c r="A94" s="733">
        <v>11120019020</v>
      </c>
      <c r="B94" s="734" t="s">
        <v>1150</v>
      </c>
      <c r="C94" s="711" t="s">
        <v>92</v>
      </c>
      <c r="D94" s="712" t="s">
        <v>1130</v>
      </c>
      <c r="E94" s="707">
        <v>70111</v>
      </c>
      <c r="F94" s="713" t="s">
        <v>1048</v>
      </c>
      <c r="G94" s="438">
        <v>8800000</v>
      </c>
      <c r="H94" s="438">
        <v>9300000</v>
      </c>
      <c r="I94" s="424"/>
    </row>
    <row r="95" spans="1:9" ht="21" customHeight="1" x14ac:dyDescent="0.25">
      <c r="A95" s="733">
        <v>11120019021</v>
      </c>
      <c r="B95" s="734" t="s">
        <v>1151</v>
      </c>
      <c r="C95" s="711" t="s">
        <v>92</v>
      </c>
      <c r="D95" s="712" t="s">
        <v>1130</v>
      </c>
      <c r="E95" s="707">
        <v>70111</v>
      </c>
      <c r="F95" s="711" t="s">
        <v>1059</v>
      </c>
      <c r="G95" s="438">
        <v>20000000</v>
      </c>
      <c r="H95" s="438">
        <v>20300000</v>
      </c>
      <c r="I95" s="424"/>
    </row>
    <row r="96" spans="1:9" ht="21" customHeight="1" x14ac:dyDescent="0.25">
      <c r="A96" s="733">
        <v>11120019022</v>
      </c>
      <c r="B96" s="734" t="s">
        <v>1152</v>
      </c>
      <c r="C96" s="711" t="s">
        <v>92</v>
      </c>
      <c r="D96" s="712" t="s">
        <v>1130</v>
      </c>
      <c r="E96" s="707">
        <v>70111</v>
      </c>
      <c r="F96" s="711" t="s">
        <v>1059</v>
      </c>
      <c r="G96" s="438">
        <v>5000000</v>
      </c>
      <c r="H96" s="438">
        <v>5300000</v>
      </c>
      <c r="I96" s="424"/>
    </row>
    <row r="97" spans="1:9" ht="19.350000000000001" customHeight="1" x14ac:dyDescent="0.25">
      <c r="A97" s="733">
        <v>11120019023</v>
      </c>
      <c r="B97" s="734" t="s">
        <v>1153</v>
      </c>
      <c r="C97" s="711" t="s">
        <v>92</v>
      </c>
      <c r="D97" s="712" t="s">
        <v>1130</v>
      </c>
      <c r="E97" s="707">
        <v>70111</v>
      </c>
      <c r="F97" s="711" t="s">
        <v>1059</v>
      </c>
      <c r="G97" s="438">
        <v>5000000</v>
      </c>
      <c r="H97" s="438">
        <v>5300000</v>
      </c>
      <c r="I97" s="424"/>
    </row>
    <row r="98" spans="1:9" ht="19.350000000000001" customHeight="1" x14ac:dyDescent="0.25">
      <c r="A98" s="733">
        <v>11120019024</v>
      </c>
      <c r="B98" s="734" t="s">
        <v>1154</v>
      </c>
      <c r="C98" s="711" t="s">
        <v>92</v>
      </c>
      <c r="D98" s="712" t="s">
        <v>1130</v>
      </c>
      <c r="E98" s="707">
        <v>70111</v>
      </c>
      <c r="F98" s="713" t="s">
        <v>1048</v>
      </c>
      <c r="G98" s="438">
        <v>10000000</v>
      </c>
      <c r="H98" s="438">
        <v>10300000</v>
      </c>
      <c r="I98" s="424"/>
    </row>
    <row r="99" spans="1:9" ht="19.350000000000001" customHeight="1" x14ac:dyDescent="0.25">
      <c r="A99" s="733">
        <v>11120019025</v>
      </c>
      <c r="B99" s="734" t="s">
        <v>1155</v>
      </c>
      <c r="C99" s="711" t="s">
        <v>92</v>
      </c>
      <c r="D99" s="712" t="s">
        <v>1130</v>
      </c>
      <c r="E99" s="707">
        <v>70111</v>
      </c>
      <c r="F99" s="713" t="s">
        <v>1048</v>
      </c>
      <c r="G99" s="438">
        <v>5000000</v>
      </c>
      <c r="H99" s="438">
        <v>5300000</v>
      </c>
      <c r="I99" s="424"/>
    </row>
    <row r="100" spans="1:9" ht="19.350000000000001" customHeight="1" x14ac:dyDescent="0.25">
      <c r="A100" s="733">
        <v>11120019026</v>
      </c>
      <c r="B100" s="734" t="s">
        <v>1156</v>
      </c>
      <c r="C100" s="711" t="s">
        <v>92</v>
      </c>
      <c r="D100" s="712" t="s">
        <v>1130</v>
      </c>
      <c r="E100" s="707">
        <v>70111</v>
      </c>
      <c r="F100" s="711" t="s">
        <v>1059</v>
      </c>
      <c r="G100" s="438">
        <v>5000000</v>
      </c>
      <c r="H100" s="438">
        <v>5300000</v>
      </c>
      <c r="I100" s="424"/>
    </row>
    <row r="101" spans="1:9" ht="19.350000000000001" customHeight="1" x14ac:dyDescent="0.25">
      <c r="A101" s="733">
        <v>11120019027</v>
      </c>
      <c r="B101" s="734" t="s">
        <v>1157</v>
      </c>
      <c r="C101" s="711" t="s">
        <v>92</v>
      </c>
      <c r="D101" s="712" t="s">
        <v>1130</v>
      </c>
      <c r="E101" s="707">
        <v>70111</v>
      </c>
      <c r="F101" s="711" t="s">
        <v>1158</v>
      </c>
      <c r="G101" s="438">
        <v>3599996</v>
      </c>
      <c r="H101" s="438">
        <v>1300000</v>
      </c>
      <c r="I101" s="424"/>
    </row>
    <row r="102" spans="1:9" ht="19.350000000000001" customHeight="1" x14ac:dyDescent="0.25">
      <c r="A102" s="733">
        <v>11120019028</v>
      </c>
      <c r="B102" s="734" t="s">
        <v>1090</v>
      </c>
      <c r="C102" s="711" t="s">
        <v>92</v>
      </c>
      <c r="D102" s="712" t="s">
        <v>1130</v>
      </c>
      <c r="E102" s="707">
        <v>70111</v>
      </c>
      <c r="F102" s="713" t="s">
        <v>1048</v>
      </c>
      <c r="G102" s="438">
        <v>1000000</v>
      </c>
      <c r="H102" s="438">
        <v>1300000</v>
      </c>
      <c r="I102" s="424"/>
    </row>
    <row r="103" spans="1:9" ht="19.350000000000001" customHeight="1" x14ac:dyDescent="0.25">
      <c r="A103" s="733">
        <v>11120019029</v>
      </c>
      <c r="B103" s="734" t="s">
        <v>1159</v>
      </c>
      <c r="C103" s="711" t="s">
        <v>92</v>
      </c>
      <c r="D103" s="712" t="s">
        <v>1130</v>
      </c>
      <c r="E103" s="707">
        <v>70111</v>
      </c>
      <c r="F103" s="713" t="s">
        <v>1048</v>
      </c>
      <c r="G103" s="438">
        <v>3000000</v>
      </c>
      <c r="H103" s="438">
        <v>10300000</v>
      </c>
      <c r="I103" s="424"/>
    </row>
    <row r="104" spans="1:9" ht="19.350000000000001" customHeight="1" x14ac:dyDescent="0.25">
      <c r="A104" s="733">
        <v>11120019030</v>
      </c>
      <c r="B104" s="734" t="s">
        <v>1160</v>
      </c>
      <c r="C104" s="711" t="s">
        <v>92</v>
      </c>
      <c r="D104" s="712" t="s">
        <v>1130</v>
      </c>
      <c r="E104" s="707">
        <v>70111</v>
      </c>
      <c r="F104" s="713" t="s">
        <v>1048</v>
      </c>
      <c r="G104" s="438">
        <v>2620000</v>
      </c>
      <c r="H104" s="438">
        <v>10900000</v>
      </c>
      <c r="I104" s="424"/>
    </row>
    <row r="105" spans="1:9" ht="19.350000000000001" customHeight="1" x14ac:dyDescent="0.25">
      <c r="A105" s="733">
        <v>11120019031</v>
      </c>
      <c r="B105" s="738" t="s">
        <v>1161</v>
      </c>
      <c r="C105" s="711" t="s">
        <v>92</v>
      </c>
      <c r="D105" s="712" t="s">
        <v>1130</v>
      </c>
      <c r="E105" s="707">
        <v>70111</v>
      </c>
      <c r="F105" s="713" t="s">
        <v>1048</v>
      </c>
      <c r="G105" s="438">
        <v>48000000</v>
      </c>
      <c r="H105" s="438">
        <v>48000000</v>
      </c>
      <c r="I105" s="424"/>
    </row>
    <row r="106" spans="1:9" ht="19.350000000000001" customHeight="1" x14ac:dyDescent="0.25">
      <c r="A106" s="733">
        <v>11120019032</v>
      </c>
      <c r="B106" s="738" t="s">
        <v>1162</v>
      </c>
      <c r="C106" s="711" t="s">
        <v>92</v>
      </c>
      <c r="D106" s="712" t="s">
        <v>1130</v>
      </c>
      <c r="E106" s="707">
        <v>70111</v>
      </c>
      <c r="F106" s="713" t="s">
        <v>1048</v>
      </c>
      <c r="G106" s="438">
        <v>48000000</v>
      </c>
      <c r="H106" s="438">
        <v>48000000</v>
      </c>
      <c r="I106" s="424"/>
    </row>
    <row r="107" spans="1:9" ht="19.350000000000001" customHeight="1" x14ac:dyDescent="0.25">
      <c r="A107" s="733">
        <v>11120019033</v>
      </c>
      <c r="B107" s="738" t="s">
        <v>1163</v>
      </c>
      <c r="C107" s="711" t="s">
        <v>92</v>
      </c>
      <c r="D107" s="712" t="s">
        <v>1130</v>
      </c>
      <c r="E107" s="707">
        <v>70111</v>
      </c>
      <c r="F107" s="711" t="s">
        <v>1056</v>
      </c>
      <c r="G107" s="438">
        <v>180000000</v>
      </c>
      <c r="H107" s="438">
        <v>180000000</v>
      </c>
      <c r="I107" s="444"/>
    </row>
    <row r="108" spans="1:9" ht="19.350000000000001" customHeight="1" x14ac:dyDescent="0.25">
      <c r="A108" s="733">
        <v>11120019034</v>
      </c>
      <c r="B108" s="738" t="s">
        <v>1144</v>
      </c>
      <c r="C108" s="711" t="s">
        <v>92</v>
      </c>
      <c r="D108" s="712" t="s">
        <v>1130</v>
      </c>
      <c r="E108" s="707">
        <v>70111</v>
      </c>
      <c r="F108" s="713" t="s">
        <v>1048</v>
      </c>
      <c r="G108" s="438">
        <v>30000000</v>
      </c>
      <c r="H108" s="438">
        <v>30000000</v>
      </c>
      <c r="I108" s="424"/>
    </row>
    <row r="109" spans="1:9" ht="19.350000000000001" customHeight="1" x14ac:dyDescent="0.25">
      <c r="A109" s="733">
        <v>11120019035</v>
      </c>
      <c r="B109" s="738" t="s">
        <v>1150</v>
      </c>
      <c r="C109" s="711" t="s">
        <v>92</v>
      </c>
      <c r="D109" s="712" t="s">
        <v>1130</v>
      </c>
      <c r="E109" s="707">
        <v>70111</v>
      </c>
      <c r="F109" s="713" t="s">
        <v>1048</v>
      </c>
      <c r="G109" s="438">
        <v>30000000</v>
      </c>
      <c r="H109" s="438">
        <v>30000000</v>
      </c>
      <c r="I109" s="424"/>
    </row>
    <row r="110" spans="1:9" ht="19.350000000000001" customHeight="1" x14ac:dyDescent="0.25">
      <c r="A110" s="733">
        <v>11120019036</v>
      </c>
      <c r="B110" s="739" t="s">
        <v>1072</v>
      </c>
      <c r="C110" s="731"/>
      <c r="D110" s="705"/>
      <c r="E110" s="714"/>
      <c r="F110" s="740"/>
      <c r="G110" s="716">
        <f>SUM(G73:G104,G105:G109)</f>
        <v>484599996</v>
      </c>
      <c r="H110" s="716">
        <f>SUM(H73:H104,H105:H109)</f>
        <v>494000000</v>
      </c>
      <c r="I110" s="424"/>
    </row>
    <row r="111" spans="1:9" ht="19.350000000000001" customHeight="1" x14ac:dyDescent="0.25">
      <c r="A111" s="733"/>
      <c r="B111" s="738" t="s">
        <v>1164</v>
      </c>
      <c r="C111" s="711"/>
      <c r="D111" s="712"/>
      <c r="E111" s="707"/>
      <c r="F111" s="713"/>
      <c r="G111" s="438"/>
      <c r="H111" s="716"/>
      <c r="I111" s="424"/>
    </row>
    <row r="112" spans="1:9" ht="19.350000000000001" customHeight="1" x14ac:dyDescent="0.25">
      <c r="A112" s="733">
        <v>11120019037</v>
      </c>
      <c r="B112" s="738" t="s">
        <v>1165</v>
      </c>
      <c r="C112" s="711" t="s">
        <v>92</v>
      </c>
      <c r="D112" s="712" t="s">
        <v>1130</v>
      </c>
      <c r="E112" s="707">
        <v>70111</v>
      </c>
      <c r="F112" s="711" t="s">
        <v>1059</v>
      </c>
      <c r="G112" s="438">
        <v>204000000</v>
      </c>
      <c r="H112" s="438">
        <f>37000000*12</f>
        <v>444000000</v>
      </c>
      <c r="I112" s="424"/>
    </row>
    <row r="113" spans="1:9" ht="19.350000000000001" customHeight="1" x14ac:dyDescent="0.25">
      <c r="A113" s="733">
        <v>11120019038</v>
      </c>
      <c r="B113" s="738" t="s">
        <v>1166</v>
      </c>
      <c r="C113" s="741" t="s">
        <v>92</v>
      </c>
      <c r="D113" s="742" t="s">
        <v>1130</v>
      </c>
      <c r="E113" s="743">
        <v>70111</v>
      </c>
      <c r="F113" s="744" t="s">
        <v>1048</v>
      </c>
      <c r="G113" s="438">
        <v>57000000</v>
      </c>
      <c r="H113" s="438">
        <v>57000000</v>
      </c>
      <c r="I113" s="424"/>
    </row>
    <row r="114" spans="1:9" ht="19.350000000000001" customHeight="1" x14ac:dyDescent="0.25">
      <c r="A114" s="733">
        <v>11120019039</v>
      </c>
      <c r="B114" s="738" t="s">
        <v>1167</v>
      </c>
      <c r="C114" s="741" t="s">
        <v>92</v>
      </c>
      <c r="D114" s="742" t="s">
        <v>1130</v>
      </c>
      <c r="E114" s="743">
        <v>70111</v>
      </c>
      <c r="F114" s="744" t="s">
        <v>1048</v>
      </c>
      <c r="G114" s="438">
        <v>2400000</v>
      </c>
      <c r="H114" s="438">
        <v>2400000</v>
      </c>
      <c r="I114" s="424"/>
    </row>
    <row r="115" spans="1:9" ht="19.350000000000001" customHeight="1" x14ac:dyDescent="0.25">
      <c r="A115" s="733">
        <v>11120019040</v>
      </c>
      <c r="B115" s="738" t="s">
        <v>1168</v>
      </c>
      <c r="C115" s="745" t="s">
        <v>92</v>
      </c>
      <c r="D115" s="746" t="s">
        <v>1130</v>
      </c>
      <c r="E115" s="734">
        <v>70111</v>
      </c>
      <c r="F115" s="747" t="s">
        <v>1048</v>
      </c>
      <c r="G115" s="438">
        <v>1800000</v>
      </c>
      <c r="H115" s="438">
        <v>1800000</v>
      </c>
      <c r="I115" s="441"/>
    </row>
    <row r="116" spans="1:9" ht="19.350000000000001" customHeight="1" x14ac:dyDescent="0.25">
      <c r="A116" s="707"/>
      <c r="B116" s="739" t="s">
        <v>1169</v>
      </c>
      <c r="C116" s="748"/>
      <c r="D116" s="749"/>
      <c r="E116" s="737"/>
      <c r="F116" s="750"/>
      <c r="G116" s="716">
        <f>SUM(G112:G115)</f>
        <v>265200000</v>
      </c>
      <c r="H116" s="716">
        <f>SUM(H112:H115)</f>
        <v>505200000</v>
      </c>
      <c r="I116" s="424"/>
    </row>
    <row r="117" spans="1:9" ht="19.350000000000001" customHeight="1" x14ac:dyDescent="0.25">
      <c r="A117" s="707"/>
      <c r="B117" s="974" t="s">
        <v>1170</v>
      </c>
      <c r="C117" s="974"/>
      <c r="D117" s="974"/>
      <c r="E117" s="974"/>
      <c r="F117" s="974"/>
      <c r="G117" s="716">
        <f>SUM(G110,G116)</f>
        <v>749799996</v>
      </c>
      <c r="H117" s="716">
        <f>SUM(H110,H116)</f>
        <v>999200000</v>
      </c>
      <c r="I117" s="441"/>
    </row>
    <row r="118" spans="1:9" ht="54" customHeight="1" x14ac:dyDescent="0.25">
      <c r="A118" s="723"/>
      <c r="B118" s="719">
        <v>51</v>
      </c>
      <c r="C118" s="445"/>
      <c r="D118" s="445"/>
      <c r="E118" s="445"/>
      <c r="F118" s="445"/>
      <c r="G118" s="725"/>
      <c r="H118" s="725"/>
      <c r="I118" s="441"/>
    </row>
    <row r="119" spans="1:9" ht="19.350000000000001" customHeight="1" x14ac:dyDescent="0.25">
      <c r="A119" s="733">
        <v>11120019042</v>
      </c>
      <c r="B119" s="726" t="s">
        <v>1171</v>
      </c>
      <c r="C119" s="745" t="s">
        <v>92</v>
      </c>
      <c r="D119" s="746" t="s">
        <v>2274</v>
      </c>
      <c r="E119" s="734">
        <v>70111</v>
      </c>
      <c r="F119" s="711"/>
      <c r="G119" s="438">
        <v>20000000</v>
      </c>
      <c r="H119" s="438">
        <v>20000000</v>
      </c>
      <c r="I119" s="424"/>
    </row>
    <row r="120" spans="1:9" ht="19.350000000000001" customHeight="1" x14ac:dyDescent="0.25">
      <c r="A120" s="733">
        <v>11120019043</v>
      </c>
      <c r="B120" s="726" t="s">
        <v>1172</v>
      </c>
      <c r="C120" s="745" t="s">
        <v>92</v>
      </c>
      <c r="D120" s="746" t="s">
        <v>2274</v>
      </c>
      <c r="E120" s="734">
        <v>70111</v>
      </c>
      <c r="F120" s="711"/>
      <c r="G120" s="438">
        <v>9000000</v>
      </c>
      <c r="H120" s="438">
        <v>9000000</v>
      </c>
      <c r="I120" s="424"/>
    </row>
    <row r="121" spans="1:9" ht="19.350000000000001" customHeight="1" x14ac:dyDescent="0.25">
      <c r="A121" s="707"/>
      <c r="B121" s="874" t="s">
        <v>717</v>
      </c>
      <c r="C121" s="745"/>
      <c r="D121" s="746"/>
      <c r="E121" s="734">
        <v>70111</v>
      </c>
      <c r="F121" s="711"/>
      <c r="G121" s="716">
        <f>SUM(G119:G120)</f>
        <v>29000000</v>
      </c>
      <c r="H121" s="716">
        <f>SUM(H119:H120)</f>
        <v>29000000</v>
      </c>
      <c r="I121" s="424"/>
    </row>
    <row r="122" spans="1:9" ht="36" customHeight="1" x14ac:dyDescent="0.25">
      <c r="A122" s="733">
        <v>11120019044</v>
      </c>
      <c r="B122" s="439" t="s">
        <v>1173</v>
      </c>
      <c r="C122" s="745" t="s">
        <v>92</v>
      </c>
      <c r="D122" s="746" t="s">
        <v>2275</v>
      </c>
      <c r="E122" s="734">
        <v>70111</v>
      </c>
      <c r="F122" s="711"/>
      <c r="G122" s="438">
        <v>10000000</v>
      </c>
      <c r="H122" s="438">
        <v>10000000</v>
      </c>
      <c r="I122" s="424"/>
    </row>
    <row r="123" spans="1:9" ht="21" customHeight="1" x14ac:dyDescent="0.25">
      <c r="A123" s="733">
        <v>11120019045</v>
      </c>
      <c r="B123" s="439" t="s">
        <v>1174</v>
      </c>
      <c r="C123" s="745" t="s">
        <v>92</v>
      </c>
      <c r="D123" s="746" t="s">
        <v>2275</v>
      </c>
      <c r="E123" s="734">
        <v>70111</v>
      </c>
      <c r="F123" s="711"/>
      <c r="G123" s="438">
        <v>4500000</v>
      </c>
      <c r="H123" s="438">
        <v>4500000</v>
      </c>
      <c r="I123" s="424"/>
    </row>
    <row r="124" spans="1:9" ht="21" customHeight="1" x14ac:dyDescent="0.25">
      <c r="A124" s="707"/>
      <c r="B124" s="446" t="s">
        <v>717</v>
      </c>
      <c r="C124" s="745"/>
      <c r="D124" s="746"/>
      <c r="E124" s="734">
        <v>70111</v>
      </c>
      <c r="F124" s="711"/>
      <c r="G124" s="716">
        <f>SUM(G122:G123)</f>
        <v>14500000</v>
      </c>
      <c r="H124" s="716">
        <f>SUM(H122:H123)</f>
        <v>14500000</v>
      </c>
      <c r="I124" s="424"/>
    </row>
    <row r="125" spans="1:9" ht="21" customHeight="1" x14ac:dyDescent="0.25">
      <c r="A125" s="733">
        <v>11120019046</v>
      </c>
      <c r="B125" s="439" t="s">
        <v>1175</v>
      </c>
      <c r="C125" s="745" t="s">
        <v>92</v>
      </c>
      <c r="D125" s="746" t="s">
        <v>2276</v>
      </c>
      <c r="E125" s="734">
        <v>70111</v>
      </c>
      <c r="F125" s="711"/>
      <c r="G125" s="438">
        <v>10000000</v>
      </c>
      <c r="H125" s="438">
        <v>10000000</v>
      </c>
      <c r="I125" s="424"/>
    </row>
    <row r="126" spans="1:9" ht="21" customHeight="1" x14ac:dyDescent="0.25">
      <c r="A126" s="733">
        <v>11120019047</v>
      </c>
      <c r="B126" s="439" t="s">
        <v>1176</v>
      </c>
      <c r="C126" s="745" t="s">
        <v>92</v>
      </c>
      <c r="D126" s="746" t="s">
        <v>2276</v>
      </c>
      <c r="E126" s="734">
        <v>70111</v>
      </c>
      <c r="F126" s="711"/>
      <c r="G126" s="438">
        <v>6000000</v>
      </c>
      <c r="H126" s="438">
        <v>6000000</v>
      </c>
      <c r="I126" s="424"/>
    </row>
    <row r="127" spans="1:9" ht="21" customHeight="1" x14ac:dyDescent="0.25">
      <c r="A127" s="707"/>
      <c r="B127" s="874" t="s">
        <v>717</v>
      </c>
      <c r="C127" s="745"/>
      <c r="D127" s="746"/>
      <c r="E127" s="734">
        <v>70111</v>
      </c>
      <c r="F127" s="711"/>
      <c r="G127" s="716">
        <f>SUM(G125:G126)</f>
        <v>16000000</v>
      </c>
      <c r="H127" s="716">
        <f>SUM(H125:H126)</f>
        <v>16000000</v>
      </c>
      <c r="I127" s="424"/>
    </row>
    <row r="128" spans="1:9" ht="21" customHeight="1" x14ac:dyDescent="0.25">
      <c r="A128" s="733">
        <v>11120019048</v>
      </c>
      <c r="B128" s="738" t="s">
        <v>1177</v>
      </c>
      <c r="C128" s="745" t="s">
        <v>92</v>
      </c>
      <c r="D128" s="746" t="s">
        <v>1178</v>
      </c>
      <c r="E128" s="734">
        <v>70111</v>
      </c>
      <c r="F128" s="747" t="s">
        <v>1048</v>
      </c>
      <c r="G128" s="751">
        <v>4800000</v>
      </c>
      <c r="H128" s="751">
        <v>4800000</v>
      </c>
      <c r="I128" s="441"/>
    </row>
    <row r="129" spans="1:8" ht="32.25" customHeight="1" x14ac:dyDescent="0.25">
      <c r="A129" s="463"/>
      <c r="B129" s="752" t="s">
        <v>919</v>
      </c>
      <c r="C129" s="745"/>
      <c r="D129" s="712"/>
      <c r="E129" s="753"/>
      <c r="F129" s="753"/>
      <c r="G129" s="753"/>
      <c r="H129" s="754"/>
    </row>
    <row r="130" spans="1:8" ht="21" customHeight="1" x14ac:dyDescent="0.25">
      <c r="A130" s="755">
        <v>112001190001</v>
      </c>
      <c r="B130" s="447" t="s">
        <v>1179</v>
      </c>
      <c r="C130" s="711" t="s">
        <v>92</v>
      </c>
      <c r="D130" s="712" t="s">
        <v>1180</v>
      </c>
      <c r="E130" s="481">
        <v>70111</v>
      </c>
      <c r="F130" s="713" t="s">
        <v>1048</v>
      </c>
      <c r="G130" s="462">
        <v>196000000</v>
      </c>
      <c r="H130" s="462">
        <f>196000000-50000000</f>
        <v>146000000</v>
      </c>
    </row>
    <row r="131" spans="1:8" ht="21" customHeight="1" x14ac:dyDescent="0.25">
      <c r="A131" s="755">
        <v>112001190002</v>
      </c>
      <c r="B131" s="447" t="s">
        <v>1181</v>
      </c>
      <c r="C131" s="711" t="s">
        <v>92</v>
      </c>
      <c r="D131" s="712" t="s">
        <v>1180</v>
      </c>
      <c r="E131" s="481">
        <v>70111</v>
      </c>
      <c r="F131" s="713" t="s">
        <v>1048</v>
      </c>
      <c r="G131" s="462">
        <v>340000000</v>
      </c>
      <c r="H131" s="462">
        <f>340000000-30000000</f>
        <v>310000000</v>
      </c>
    </row>
    <row r="132" spans="1:8" ht="21" customHeight="1" x14ac:dyDescent="0.25">
      <c r="A132" s="755">
        <v>112001190003</v>
      </c>
      <c r="B132" s="447" t="s">
        <v>1129</v>
      </c>
      <c r="C132" s="711" t="s">
        <v>92</v>
      </c>
      <c r="D132" s="712" t="s">
        <v>1180</v>
      </c>
      <c r="E132" s="481">
        <v>70111</v>
      </c>
      <c r="F132" s="713" t="s">
        <v>1048</v>
      </c>
      <c r="G132" s="462">
        <v>80000000</v>
      </c>
      <c r="H132" s="462">
        <v>70000000</v>
      </c>
    </row>
    <row r="133" spans="1:8" ht="21" customHeight="1" x14ac:dyDescent="0.25">
      <c r="A133" s="755">
        <v>112001190004</v>
      </c>
      <c r="B133" s="447" t="s">
        <v>1131</v>
      </c>
      <c r="C133" s="711" t="s">
        <v>92</v>
      </c>
      <c r="D133" s="712" t="s">
        <v>1180</v>
      </c>
      <c r="E133" s="481">
        <v>70111</v>
      </c>
      <c r="F133" s="713" t="s">
        <v>1048</v>
      </c>
      <c r="G133" s="462">
        <v>5000000</v>
      </c>
      <c r="H133" s="462">
        <v>5000000</v>
      </c>
    </row>
    <row r="134" spans="1:8" ht="21" customHeight="1" x14ac:dyDescent="0.25">
      <c r="A134" s="755">
        <v>112001190005</v>
      </c>
      <c r="B134" s="447" t="s">
        <v>1132</v>
      </c>
      <c r="C134" s="711" t="s">
        <v>92</v>
      </c>
      <c r="D134" s="712" t="s">
        <v>1180</v>
      </c>
      <c r="E134" s="481">
        <v>70111</v>
      </c>
      <c r="F134" s="713" t="s">
        <v>1048</v>
      </c>
      <c r="G134" s="462">
        <f>5000000+1000000</f>
        <v>6000000</v>
      </c>
      <c r="H134" s="462">
        <f>5000000+1000000+10000000</f>
        <v>16000000</v>
      </c>
    </row>
    <row r="135" spans="1:8" ht="21" customHeight="1" x14ac:dyDescent="0.25">
      <c r="A135" s="755">
        <v>112001190006</v>
      </c>
      <c r="B135" s="430" t="s">
        <v>1182</v>
      </c>
      <c r="C135" s="711" t="s">
        <v>92</v>
      </c>
      <c r="D135" s="712" t="s">
        <v>1180</v>
      </c>
      <c r="E135" s="481">
        <v>70111</v>
      </c>
      <c r="F135" s="713" t="s">
        <v>1048</v>
      </c>
      <c r="G135" s="462">
        <v>2000000</v>
      </c>
      <c r="H135" s="462">
        <v>2000000</v>
      </c>
    </row>
    <row r="136" spans="1:8" ht="21" customHeight="1" x14ac:dyDescent="0.25">
      <c r="A136" s="755">
        <v>112001190007</v>
      </c>
      <c r="B136" s="430" t="s">
        <v>1183</v>
      </c>
      <c r="C136" s="711" t="s">
        <v>92</v>
      </c>
      <c r="D136" s="712" t="s">
        <v>1180</v>
      </c>
      <c r="E136" s="481">
        <v>70111</v>
      </c>
      <c r="F136" s="713" t="s">
        <v>1048</v>
      </c>
      <c r="G136" s="462">
        <v>5000000</v>
      </c>
      <c r="H136" s="462">
        <v>5000000</v>
      </c>
    </row>
    <row r="137" spans="1:8" ht="21" customHeight="1" x14ac:dyDescent="0.25">
      <c r="A137" s="755">
        <v>112001190008</v>
      </c>
      <c r="B137" s="447" t="s">
        <v>1184</v>
      </c>
      <c r="C137" s="711" t="s">
        <v>92</v>
      </c>
      <c r="D137" s="712" t="s">
        <v>1180</v>
      </c>
      <c r="E137" s="481">
        <v>70111</v>
      </c>
      <c r="F137" s="713" t="s">
        <v>1048</v>
      </c>
      <c r="G137" s="462">
        <v>1000000</v>
      </c>
      <c r="H137" s="462">
        <f>1000000+2000000</f>
        <v>3000000</v>
      </c>
    </row>
    <row r="138" spans="1:8" ht="21" customHeight="1" x14ac:dyDescent="0.25">
      <c r="A138" s="755">
        <v>112001190009</v>
      </c>
      <c r="B138" s="430" t="s">
        <v>1185</v>
      </c>
      <c r="C138" s="711" t="s">
        <v>92</v>
      </c>
      <c r="D138" s="712" t="s">
        <v>1180</v>
      </c>
      <c r="E138" s="481">
        <v>70111</v>
      </c>
      <c r="F138" s="713" t="s">
        <v>1048</v>
      </c>
      <c r="G138" s="462">
        <v>20000000</v>
      </c>
      <c r="H138" s="462">
        <v>20000000</v>
      </c>
    </row>
    <row r="139" spans="1:8" ht="21" customHeight="1" x14ac:dyDescent="0.25">
      <c r="A139" s="755">
        <v>112001190010</v>
      </c>
      <c r="B139" s="430" t="s">
        <v>1186</v>
      </c>
      <c r="C139" s="711" t="s">
        <v>92</v>
      </c>
      <c r="D139" s="712" t="s">
        <v>1180</v>
      </c>
      <c r="E139" s="481">
        <v>70111</v>
      </c>
      <c r="F139" s="713" t="s">
        <v>1048</v>
      </c>
      <c r="G139" s="462">
        <v>10000000</v>
      </c>
      <c r="H139" s="462">
        <v>10000000</v>
      </c>
    </row>
    <row r="140" spans="1:8" ht="21" customHeight="1" x14ac:dyDescent="0.25">
      <c r="A140" s="755">
        <v>112001190011</v>
      </c>
      <c r="B140" s="447" t="s">
        <v>1187</v>
      </c>
      <c r="C140" s="711" t="s">
        <v>92</v>
      </c>
      <c r="D140" s="712" t="s">
        <v>1180</v>
      </c>
      <c r="E140" s="481">
        <v>70111</v>
      </c>
      <c r="F140" s="713" t="s">
        <v>1048</v>
      </c>
      <c r="G140" s="462">
        <v>2000000</v>
      </c>
      <c r="H140" s="462">
        <f>2000000+1000000</f>
        <v>3000000</v>
      </c>
    </row>
    <row r="141" spans="1:8" ht="21" customHeight="1" x14ac:dyDescent="0.25">
      <c r="A141" s="755">
        <v>112001190012</v>
      </c>
      <c r="B141" s="447" t="s">
        <v>1138</v>
      </c>
      <c r="C141" s="711" t="s">
        <v>92</v>
      </c>
      <c r="D141" s="712" t="s">
        <v>1180</v>
      </c>
      <c r="E141" s="481">
        <v>70111</v>
      </c>
      <c r="F141" s="713" t="s">
        <v>1048</v>
      </c>
      <c r="G141" s="462">
        <v>2000000</v>
      </c>
      <c r="H141" s="462">
        <f>2000000+1000000</f>
        <v>3000000</v>
      </c>
    </row>
    <row r="142" spans="1:8" ht="21" customHeight="1" x14ac:dyDescent="0.25">
      <c r="A142" s="755">
        <v>112001190013</v>
      </c>
      <c r="B142" s="447" t="s">
        <v>1188</v>
      </c>
      <c r="C142" s="711" t="s">
        <v>92</v>
      </c>
      <c r="D142" s="712" t="s">
        <v>1180</v>
      </c>
      <c r="E142" s="481">
        <v>70111</v>
      </c>
      <c r="F142" s="713" t="s">
        <v>1048</v>
      </c>
      <c r="G142" s="462">
        <v>2000000</v>
      </c>
      <c r="H142" s="462">
        <v>2000000</v>
      </c>
    </row>
    <row r="143" spans="1:8" ht="21" customHeight="1" x14ac:dyDescent="0.25">
      <c r="A143" s="755">
        <v>112001190014</v>
      </c>
      <c r="B143" s="430" t="s">
        <v>1189</v>
      </c>
      <c r="C143" s="711" t="s">
        <v>92</v>
      </c>
      <c r="D143" s="712" t="s">
        <v>1180</v>
      </c>
      <c r="E143" s="481">
        <v>70111</v>
      </c>
      <c r="F143" s="713" t="s">
        <v>1048</v>
      </c>
      <c r="G143" s="462">
        <v>1000000</v>
      </c>
      <c r="H143" s="462">
        <f>1000000+1000000</f>
        <v>2000000</v>
      </c>
    </row>
    <row r="144" spans="1:8" ht="21" customHeight="1" x14ac:dyDescent="0.25">
      <c r="A144" s="755">
        <v>112001190015</v>
      </c>
      <c r="B144" s="430" t="s">
        <v>1190</v>
      </c>
      <c r="C144" s="711" t="s">
        <v>92</v>
      </c>
      <c r="D144" s="712" t="s">
        <v>1180</v>
      </c>
      <c r="E144" s="481">
        <v>70111</v>
      </c>
      <c r="F144" s="713" t="s">
        <v>1048</v>
      </c>
      <c r="G144" s="462">
        <v>30000000</v>
      </c>
      <c r="H144" s="462">
        <v>30000000</v>
      </c>
    </row>
    <row r="145" spans="1:8" ht="21" customHeight="1" x14ac:dyDescent="0.25">
      <c r="A145" s="755">
        <v>112001190016</v>
      </c>
      <c r="B145" s="447" t="s">
        <v>1191</v>
      </c>
      <c r="C145" s="711" t="s">
        <v>92</v>
      </c>
      <c r="D145" s="712" t="s">
        <v>1180</v>
      </c>
      <c r="E145" s="481">
        <v>70111</v>
      </c>
      <c r="F145" s="713" t="s">
        <v>1048</v>
      </c>
      <c r="G145" s="462">
        <v>2000000</v>
      </c>
      <c r="H145" s="462">
        <v>2000000</v>
      </c>
    </row>
    <row r="146" spans="1:8" ht="52.5" customHeight="1" x14ac:dyDescent="0.25">
      <c r="A146" s="756"/>
      <c r="B146" s="448">
        <v>52</v>
      </c>
      <c r="C146" s="722"/>
      <c r="D146" s="720"/>
      <c r="E146" s="757"/>
      <c r="F146" s="758"/>
      <c r="G146" s="759"/>
      <c r="H146" s="759"/>
    </row>
    <row r="147" spans="1:8" ht="22.5" customHeight="1" x14ac:dyDescent="0.25">
      <c r="A147" s="463"/>
      <c r="B147" s="873" t="s">
        <v>1192</v>
      </c>
      <c r="C147" s="711"/>
      <c r="D147" s="712"/>
      <c r="E147" s="481"/>
      <c r="F147" s="713"/>
      <c r="G147" s="462"/>
      <c r="H147" s="462"/>
    </row>
    <row r="148" spans="1:8" ht="21" customHeight="1" x14ac:dyDescent="0.25">
      <c r="A148" s="755">
        <v>112001190017</v>
      </c>
      <c r="B148" s="447" t="s">
        <v>1193</v>
      </c>
      <c r="C148" s="711" t="s">
        <v>92</v>
      </c>
      <c r="D148" s="712" t="s">
        <v>1180</v>
      </c>
      <c r="E148" s="481">
        <v>70111</v>
      </c>
      <c r="F148" s="713" t="s">
        <v>1048</v>
      </c>
      <c r="G148" s="462">
        <v>8000000</v>
      </c>
      <c r="H148" s="462">
        <v>8000000</v>
      </c>
    </row>
    <row r="149" spans="1:8" ht="21" customHeight="1" x14ac:dyDescent="0.25">
      <c r="A149" s="755">
        <v>112001190018</v>
      </c>
      <c r="B149" s="447" t="s">
        <v>1144</v>
      </c>
      <c r="C149" s="711" t="s">
        <v>92</v>
      </c>
      <c r="D149" s="712" t="s">
        <v>1180</v>
      </c>
      <c r="E149" s="481">
        <v>70111</v>
      </c>
      <c r="F149" s="713" t="s">
        <v>1048</v>
      </c>
      <c r="G149" s="462">
        <v>50000000</v>
      </c>
      <c r="H149" s="462">
        <v>50000000</v>
      </c>
    </row>
    <row r="150" spans="1:8" ht="21" customHeight="1" x14ac:dyDescent="0.25">
      <c r="A150" s="755">
        <v>112001190019</v>
      </c>
      <c r="B150" s="430" t="s">
        <v>1194</v>
      </c>
      <c r="C150" s="711" t="s">
        <v>92</v>
      </c>
      <c r="D150" s="712" t="s">
        <v>1180</v>
      </c>
      <c r="E150" s="481">
        <v>70111</v>
      </c>
      <c r="F150" s="713" t="s">
        <v>1048</v>
      </c>
      <c r="G150" s="462">
        <v>10000000</v>
      </c>
      <c r="H150" s="462">
        <v>10000000</v>
      </c>
    </row>
    <row r="151" spans="1:8" ht="21" customHeight="1" x14ac:dyDescent="0.25">
      <c r="A151" s="755">
        <v>112001190020</v>
      </c>
      <c r="B151" s="447" t="s">
        <v>1195</v>
      </c>
      <c r="C151" s="711" t="s">
        <v>92</v>
      </c>
      <c r="D151" s="712" t="s">
        <v>1180</v>
      </c>
      <c r="E151" s="481">
        <v>70111</v>
      </c>
      <c r="F151" s="713" t="s">
        <v>1048</v>
      </c>
      <c r="G151" s="462">
        <v>20000000</v>
      </c>
      <c r="H151" s="462">
        <v>20000000</v>
      </c>
    </row>
    <row r="152" spans="1:8" ht="21" customHeight="1" x14ac:dyDescent="0.25">
      <c r="A152" s="755">
        <v>112001190021</v>
      </c>
      <c r="B152" s="447" t="s">
        <v>1196</v>
      </c>
      <c r="C152" s="711" t="s">
        <v>92</v>
      </c>
      <c r="D152" s="712" t="s">
        <v>1180</v>
      </c>
      <c r="E152" s="481">
        <v>70111</v>
      </c>
      <c r="F152" s="713" t="s">
        <v>1048</v>
      </c>
      <c r="G152" s="462">
        <v>1000000</v>
      </c>
      <c r="H152" s="462">
        <f>1000000+1000000</f>
        <v>2000000</v>
      </c>
    </row>
    <row r="153" spans="1:8" ht="21" customHeight="1" x14ac:dyDescent="0.25">
      <c r="A153" s="755">
        <v>112001190022</v>
      </c>
      <c r="B153" s="447" t="s">
        <v>1148</v>
      </c>
      <c r="C153" s="711" t="s">
        <v>92</v>
      </c>
      <c r="D153" s="712" t="s">
        <v>1180</v>
      </c>
      <c r="E153" s="481">
        <v>70111</v>
      </c>
      <c r="F153" s="713" t="s">
        <v>1048</v>
      </c>
      <c r="G153" s="462">
        <v>5000000</v>
      </c>
      <c r="H153" s="462">
        <f>5000000+5000000</f>
        <v>10000000</v>
      </c>
    </row>
    <row r="154" spans="1:8" ht="21" customHeight="1" x14ac:dyDescent="0.25">
      <c r="A154" s="755">
        <v>112001190023</v>
      </c>
      <c r="B154" s="447" t="s">
        <v>1086</v>
      </c>
      <c r="C154" s="711" t="s">
        <v>92</v>
      </c>
      <c r="D154" s="712" t="s">
        <v>1180</v>
      </c>
      <c r="E154" s="481">
        <v>70111</v>
      </c>
      <c r="F154" s="713" t="s">
        <v>1048</v>
      </c>
      <c r="G154" s="462">
        <v>2000000</v>
      </c>
      <c r="H154" s="462">
        <f>2000000+3000000</f>
        <v>5000000</v>
      </c>
    </row>
    <row r="155" spans="1:8" ht="21" customHeight="1" x14ac:dyDescent="0.25">
      <c r="A155" s="755">
        <v>112001190024</v>
      </c>
      <c r="B155" s="430" t="s">
        <v>1149</v>
      </c>
      <c r="C155" s="711" t="s">
        <v>92</v>
      </c>
      <c r="D155" s="712" t="s">
        <v>1180</v>
      </c>
      <c r="E155" s="481">
        <v>70111</v>
      </c>
      <c r="F155" s="713" t="s">
        <v>1048</v>
      </c>
      <c r="G155" s="462">
        <v>3000000</v>
      </c>
      <c r="H155" s="462">
        <v>3000000</v>
      </c>
    </row>
    <row r="156" spans="1:8" ht="21" customHeight="1" x14ac:dyDescent="0.25">
      <c r="A156" s="755">
        <v>112001190025</v>
      </c>
      <c r="B156" s="430" t="s">
        <v>1197</v>
      </c>
      <c r="C156" s="711" t="s">
        <v>92</v>
      </c>
      <c r="D156" s="712" t="s">
        <v>1180</v>
      </c>
      <c r="E156" s="481">
        <v>70111</v>
      </c>
      <c r="F156" s="713" t="s">
        <v>1048</v>
      </c>
      <c r="G156" s="462">
        <v>20000000</v>
      </c>
      <c r="H156" s="462">
        <v>20000000</v>
      </c>
    </row>
    <row r="157" spans="1:8" ht="21" customHeight="1" x14ac:dyDescent="0.25">
      <c r="A157" s="755">
        <v>112001190026</v>
      </c>
      <c r="B157" s="430" t="s">
        <v>1198</v>
      </c>
      <c r="C157" s="711" t="s">
        <v>92</v>
      </c>
      <c r="D157" s="712" t="s">
        <v>1180</v>
      </c>
      <c r="E157" s="481">
        <v>70111</v>
      </c>
      <c r="F157" s="713" t="s">
        <v>1048</v>
      </c>
      <c r="G157" s="462">
        <v>2000000</v>
      </c>
      <c r="H157" s="462">
        <f>2000000+1000000</f>
        <v>3000000</v>
      </c>
    </row>
    <row r="158" spans="1:8" ht="21" customHeight="1" x14ac:dyDescent="0.25">
      <c r="A158" s="755">
        <v>112001190027</v>
      </c>
      <c r="B158" s="430" t="s">
        <v>1199</v>
      </c>
      <c r="C158" s="711" t="s">
        <v>92</v>
      </c>
      <c r="D158" s="712" t="s">
        <v>1180</v>
      </c>
      <c r="E158" s="481">
        <v>70111</v>
      </c>
      <c r="F158" s="713" t="s">
        <v>1048</v>
      </c>
      <c r="G158" s="462">
        <v>2000000</v>
      </c>
      <c r="H158" s="462">
        <v>2000000</v>
      </c>
    </row>
    <row r="159" spans="1:8" ht="21" customHeight="1" x14ac:dyDescent="0.25">
      <c r="A159" s="755">
        <v>112001190028</v>
      </c>
      <c r="B159" s="430" t="s">
        <v>1200</v>
      </c>
      <c r="C159" s="711" t="s">
        <v>383</v>
      </c>
      <c r="D159" s="712" t="s">
        <v>1201</v>
      </c>
      <c r="E159" s="481">
        <v>70112</v>
      </c>
      <c r="F159" s="713" t="s">
        <v>1048</v>
      </c>
      <c r="G159" s="462">
        <v>0</v>
      </c>
      <c r="H159" s="462">
        <v>2000000</v>
      </c>
    </row>
    <row r="160" spans="1:8" ht="21" customHeight="1" x14ac:dyDescent="0.25">
      <c r="A160" s="755">
        <v>112001190029</v>
      </c>
      <c r="B160" s="447" t="s">
        <v>1202</v>
      </c>
      <c r="C160" s="711" t="s">
        <v>92</v>
      </c>
      <c r="D160" s="712" t="s">
        <v>1180</v>
      </c>
      <c r="E160" s="481">
        <v>70111</v>
      </c>
      <c r="F160" s="713" t="s">
        <v>1048</v>
      </c>
      <c r="G160" s="462">
        <v>170000000</v>
      </c>
      <c r="H160" s="462">
        <f>170000000-20000000</f>
        <v>150000000</v>
      </c>
    </row>
    <row r="161" spans="1:8" ht="21" customHeight="1" x14ac:dyDescent="0.25">
      <c r="A161" s="755">
        <v>112001190030</v>
      </c>
      <c r="B161" s="447" t="s">
        <v>1203</v>
      </c>
      <c r="C161" s="711" t="s">
        <v>92</v>
      </c>
      <c r="D161" s="712" t="s">
        <v>1180</v>
      </c>
      <c r="E161" s="481">
        <v>70111</v>
      </c>
      <c r="F161" s="713" t="s">
        <v>1048</v>
      </c>
      <c r="G161" s="462">
        <v>150000000</v>
      </c>
      <c r="H161" s="462">
        <v>150000000</v>
      </c>
    </row>
    <row r="162" spans="1:8" ht="21" customHeight="1" x14ac:dyDescent="0.25">
      <c r="A162" s="755">
        <v>112001190031</v>
      </c>
      <c r="B162" s="430" t="s">
        <v>1204</v>
      </c>
      <c r="C162" s="711" t="s">
        <v>92</v>
      </c>
      <c r="D162" s="712" t="s">
        <v>1180</v>
      </c>
      <c r="E162" s="481">
        <v>70111</v>
      </c>
      <c r="F162" s="713" t="s">
        <v>1048</v>
      </c>
      <c r="G162" s="462">
        <v>240000000</v>
      </c>
      <c r="H162" s="462">
        <f>240000000-20000000-10000000</f>
        <v>210000000</v>
      </c>
    </row>
    <row r="163" spans="1:8" ht="21" customHeight="1" x14ac:dyDescent="0.25">
      <c r="A163" s="755">
        <v>112001190032</v>
      </c>
      <c r="B163" s="447" t="s">
        <v>1205</v>
      </c>
      <c r="C163" s="711" t="s">
        <v>92</v>
      </c>
      <c r="D163" s="712" t="s">
        <v>1180</v>
      </c>
      <c r="E163" s="481">
        <v>70111</v>
      </c>
      <c r="F163" s="713" t="s">
        <v>1048</v>
      </c>
      <c r="G163" s="462">
        <v>30000000</v>
      </c>
      <c r="H163" s="462">
        <v>30000000</v>
      </c>
    </row>
    <row r="164" spans="1:8" ht="21" customHeight="1" x14ac:dyDescent="0.25">
      <c r="A164" s="755">
        <v>112001190033</v>
      </c>
      <c r="B164" s="447" t="s">
        <v>1206</v>
      </c>
      <c r="C164" s="711" t="s">
        <v>92</v>
      </c>
      <c r="D164" s="712" t="s">
        <v>1180</v>
      </c>
      <c r="E164" s="481">
        <v>70111</v>
      </c>
      <c r="F164" s="713" t="s">
        <v>1048</v>
      </c>
      <c r="G164" s="462">
        <v>2000000</v>
      </c>
      <c r="H164" s="462">
        <f>2000000+3000000</f>
        <v>5000000</v>
      </c>
    </row>
    <row r="165" spans="1:8" ht="21" customHeight="1" x14ac:dyDescent="0.25">
      <c r="A165" s="755">
        <v>112001190034</v>
      </c>
      <c r="B165" s="430" t="s">
        <v>1207</v>
      </c>
      <c r="C165" s="711" t="s">
        <v>92</v>
      </c>
      <c r="D165" s="712" t="s">
        <v>1180</v>
      </c>
      <c r="E165" s="481">
        <v>70111</v>
      </c>
      <c r="F165" s="713" t="s">
        <v>1048</v>
      </c>
      <c r="G165" s="462">
        <v>2000000</v>
      </c>
      <c r="H165" s="462">
        <v>2000000</v>
      </c>
    </row>
    <row r="166" spans="1:8" ht="21" customHeight="1" x14ac:dyDescent="0.25">
      <c r="A166" s="755">
        <v>112001190035</v>
      </c>
      <c r="B166" s="430" t="s">
        <v>1208</v>
      </c>
      <c r="C166" s="711" t="s">
        <v>92</v>
      </c>
      <c r="D166" s="712" t="s">
        <v>1180</v>
      </c>
      <c r="E166" s="481">
        <v>70111</v>
      </c>
      <c r="F166" s="713" t="s">
        <v>1048</v>
      </c>
      <c r="G166" s="462">
        <v>1084000000</v>
      </c>
      <c r="H166" s="462">
        <v>1080000000</v>
      </c>
    </row>
    <row r="167" spans="1:8" ht="21" customHeight="1" x14ac:dyDescent="0.25">
      <c r="A167" s="755">
        <v>112001190036</v>
      </c>
      <c r="B167" s="430" t="s">
        <v>1209</v>
      </c>
      <c r="C167" s="711"/>
      <c r="D167" s="712"/>
      <c r="E167" s="481"/>
      <c r="F167" s="713"/>
      <c r="G167" s="462"/>
      <c r="H167" s="462">
        <v>130000000</v>
      </c>
    </row>
    <row r="168" spans="1:8" ht="21" customHeight="1" x14ac:dyDescent="0.25">
      <c r="A168" s="755">
        <v>112001190037</v>
      </c>
      <c r="B168" s="430" t="s">
        <v>1210</v>
      </c>
      <c r="C168" s="711"/>
      <c r="D168" s="712"/>
      <c r="E168" s="481"/>
      <c r="F168" s="713"/>
      <c r="G168" s="462"/>
      <c r="H168" s="462">
        <v>1000000</v>
      </c>
    </row>
    <row r="169" spans="1:8" ht="21" customHeight="1" x14ac:dyDescent="0.25">
      <c r="A169" s="755">
        <v>112001190038</v>
      </c>
      <c r="B169" s="430" t="s">
        <v>1211</v>
      </c>
      <c r="C169" s="711" t="s">
        <v>92</v>
      </c>
      <c r="D169" s="712" t="s">
        <v>1180</v>
      </c>
      <c r="E169" s="481">
        <v>70111</v>
      </c>
      <c r="F169" s="713" t="s">
        <v>1048</v>
      </c>
      <c r="G169" s="462">
        <v>30000000</v>
      </c>
      <c r="H169" s="462">
        <v>30000000</v>
      </c>
    </row>
    <row r="170" spans="1:8" ht="56.25" customHeight="1" x14ac:dyDescent="0.25">
      <c r="A170" s="756"/>
      <c r="B170" s="449">
        <v>53</v>
      </c>
      <c r="C170" s="722"/>
      <c r="D170" s="720"/>
      <c r="E170" s="757"/>
      <c r="F170" s="758"/>
      <c r="G170" s="759"/>
      <c r="H170" s="759"/>
    </row>
    <row r="171" spans="1:8" ht="24" customHeight="1" x14ac:dyDescent="0.25">
      <c r="A171" s="463"/>
      <c r="B171" s="873" t="s">
        <v>1192</v>
      </c>
      <c r="C171" s="711"/>
      <c r="D171" s="712"/>
      <c r="E171" s="481"/>
      <c r="F171" s="713"/>
      <c r="G171" s="462"/>
      <c r="H171" s="462"/>
    </row>
    <row r="172" spans="1:8" ht="21" customHeight="1" x14ac:dyDescent="0.25">
      <c r="A172" s="755">
        <v>112001190039</v>
      </c>
      <c r="B172" s="447" t="s">
        <v>1212</v>
      </c>
      <c r="C172" s="711" t="s">
        <v>92</v>
      </c>
      <c r="D172" s="712" t="s">
        <v>1180</v>
      </c>
      <c r="E172" s="481">
        <v>70111</v>
      </c>
      <c r="F172" s="713" t="s">
        <v>1048</v>
      </c>
      <c r="G172" s="462">
        <v>2000000</v>
      </c>
      <c r="H172" s="462">
        <v>2000000</v>
      </c>
    </row>
    <row r="173" spans="1:8" ht="21" customHeight="1" x14ac:dyDescent="0.25">
      <c r="A173" s="755">
        <v>112001190040</v>
      </c>
      <c r="B173" s="447" t="s">
        <v>1213</v>
      </c>
      <c r="C173" s="711" t="s">
        <v>92</v>
      </c>
      <c r="D173" s="712" t="s">
        <v>1180</v>
      </c>
      <c r="E173" s="481">
        <v>70111</v>
      </c>
      <c r="F173" s="713" t="s">
        <v>1048</v>
      </c>
      <c r="G173" s="462">
        <v>80000000</v>
      </c>
      <c r="H173" s="462">
        <v>80000000</v>
      </c>
    </row>
    <row r="174" spans="1:8" ht="21" customHeight="1" x14ac:dyDescent="0.25">
      <c r="A174" s="755">
        <v>112001190041</v>
      </c>
      <c r="B174" s="447" t="s">
        <v>1214</v>
      </c>
      <c r="C174" s="711" t="s">
        <v>92</v>
      </c>
      <c r="D174" s="712" t="s">
        <v>1180</v>
      </c>
      <c r="E174" s="481">
        <v>70111</v>
      </c>
      <c r="F174" s="713" t="s">
        <v>1048</v>
      </c>
      <c r="G174" s="462">
        <v>5000000</v>
      </c>
      <c r="H174" s="462">
        <v>5000000</v>
      </c>
    </row>
    <row r="175" spans="1:8" ht="21" customHeight="1" x14ac:dyDescent="0.25">
      <c r="A175" s="755">
        <v>112001190042</v>
      </c>
      <c r="B175" s="447" t="s">
        <v>1215</v>
      </c>
      <c r="C175" s="711" t="s">
        <v>92</v>
      </c>
      <c r="D175" s="712" t="s">
        <v>1180</v>
      </c>
      <c r="E175" s="481">
        <v>70111</v>
      </c>
      <c r="F175" s="713" t="s">
        <v>1048</v>
      </c>
      <c r="G175" s="462">
        <v>5000000</v>
      </c>
      <c r="H175" s="462">
        <v>5000000</v>
      </c>
    </row>
    <row r="176" spans="1:8" ht="21" customHeight="1" x14ac:dyDescent="0.25">
      <c r="A176" s="755">
        <v>112001190043</v>
      </c>
      <c r="B176" s="447" t="s">
        <v>1216</v>
      </c>
      <c r="C176" s="711" t="s">
        <v>92</v>
      </c>
      <c r="D176" s="712" t="s">
        <v>1180</v>
      </c>
      <c r="E176" s="481">
        <v>70111</v>
      </c>
      <c r="F176" s="713" t="s">
        <v>1048</v>
      </c>
      <c r="G176" s="462">
        <v>5000000</v>
      </c>
      <c r="H176" s="462">
        <v>5000000</v>
      </c>
    </row>
    <row r="177" spans="1:8" ht="21" customHeight="1" x14ac:dyDescent="0.25">
      <c r="A177" s="755">
        <v>112001190044</v>
      </c>
      <c r="B177" s="447" t="s">
        <v>1217</v>
      </c>
      <c r="C177" s="711" t="s">
        <v>92</v>
      </c>
      <c r="D177" s="712" t="s">
        <v>1180</v>
      </c>
      <c r="E177" s="481">
        <v>70111</v>
      </c>
      <c r="F177" s="713" t="s">
        <v>1048</v>
      </c>
      <c r="G177" s="462">
        <v>5000000</v>
      </c>
      <c r="H177" s="462">
        <v>5000000</v>
      </c>
    </row>
    <row r="178" spans="1:8" ht="21" customHeight="1" x14ac:dyDescent="0.25">
      <c r="A178" s="755">
        <v>112001190045</v>
      </c>
      <c r="B178" s="447" t="s">
        <v>1218</v>
      </c>
      <c r="C178" s="711" t="s">
        <v>92</v>
      </c>
      <c r="D178" s="712" t="s">
        <v>1180</v>
      </c>
      <c r="E178" s="481">
        <v>70111</v>
      </c>
      <c r="F178" s="713" t="s">
        <v>1048</v>
      </c>
      <c r="G178" s="462">
        <v>5000000</v>
      </c>
      <c r="H178" s="462">
        <f>5000000+115000000</f>
        <v>120000000</v>
      </c>
    </row>
    <row r="179" spans="1:8" ht="21" customHeight="1" x14ac:dyDescent="0.25">
      <c r="A179" s="755">
        <v>112001190046</v>
      </c>
      <c r="B179" s="430" t="s">
        <v>1219</v>
      </c>
      <c r="C179" s="711"/>
      <c r="D179" s="712"/>
      <c r="E179" s="481"/>
      <c r="F179" s="713"/>
      <c r="G179" s="462"/>
      <c r="H179" s="462">
        <f>50000000+10000000</f>
        <v>60000000</v>
      </c>
    </row>
    <row r="180" spans="1:8" ht="21" customHeight="1" x14ac:dyDescent="0.25">
      <c r="A180" s="755">
        <v>112001190047</v>
      </c>
      <c r="B180" s="430" t="s">
        <v>1220</v>
      </c>
      <c r="C180" s="711" t="s">
        <v>92</v>
      </c>
      <c r="D180" s="712" t="s">
        <v>1180</v>
      </c>
      <c r="E180" s="481">
        <v>70111</v>
      </c>
      <c r="F180" s="713" t="s">
        <v>1048</v>
      </c>
      <c r="G180" s="462">
        <f>90000000-10000000</f>
        <v>80000000</v>
      </c>
      <c r="H180" s="462">
        <f>90000000-10000000</f>
        <v>80000000</v>
      </c>
    </row>
    <row r="181" spans="1:8" ht="21" customHeight="1" x14ac:dyDescent="0.25">
      <c r="A181" s="755">
        <v>112001190048</v>
      </c>
      <c r="B181" s="447" t="s">
        <v>1221</v>
      </c>
      <c r="C181" s="711" t="s">
        <v>92</v>
      </c>
      <c r="D181" s="712" t="s">
        <v>1180</v>
      </c>
      <c r="E181" s="481">
        <v>70111</v>
      </c>
      <c r="F181" s="713" t="s">
        <v>1048</v>
      </c>
      <c r="G181" s="462">
        <v>2000000</v>
      </c>
      <c r="H181" s="462">
        <f>2000000+3000000</f>
        <v>5000000</v>
      </c>
    </row>
    <row r="182" spans="1:8" ht="21" customHeight="1" x14ac:dyDescent="0.25">
      <c r="A182" s="755">
        <v>112001190049</v>
      </c>
      <c r="B182" s="447" t="s">
        <v>1222</v>
      </c>
      <c r="C182" s="711" t="s">
        <v>92</v>
      </c>
      <c r="D182" s="712" t="s">
        <v>1180</v>
      </c>
      <c r="E182" s="481">
        <v>70111</v>
      </c>
      <c r="F182" s="713" t="s">
        <v>1048</v>
      </c>
      <c r="G182" s="462">
        <v>50000000</v>
      </c>
      <c r="H182" s="462">
        <v>50000000</v>
      </c>
    </row>
    <row r="183" spans="1:8" ht="21" customHeight="1" x14ac:dyDescent="0.25">
      <c r="A183" s="755">
        <v>112001190050</v>
      </c>
      <c r="B183" s="447" t="s">
        <v>1223</v>
      </c>
      <c r="C183" s="711" t="s">
        <v>92</v>
      </c>
      <c r="D183" s="712" t="s">
        <v>1180</v>
      </c>
      <c r="E183" s="481">
        <v>70111</v>
      </c>
      <c r="F183" s="713" t="s">
        <v>1048</v>
      </c>
      <c r="G183" s="462">
        <v>1000000</v>
      </c>
      <c r="H183" s="462">
        <f>1000000+1000000</f>
        <v>2000000</v>
      </c>
    </row>
    <row r="184" spans="1:8" ht="21" customHeight="1" x14ac:dyDescent="0.25">
      <c r="A184" s="755">
        <v>112001190051</v>
      </c>
      <c r="B184" s="447" t="s">
        <v>1224</v>
      </c>
      <c r="C184" s="711" t="s">
        <v>92</v>
      </c>
      <c r="D184" s="712" t="s">
        <v>1180</v>
      </c>
      <c r="E184" s="481">
        <v>70111</v>
      </c>
      <c r="F184" s="713" t="s">
        <v>1048</v>
      </c>
      <c r="G184" s="462">
        <v>15000000</v>
      </c>
      <c r="H184" s="462">
        <v>15000000</v>
      </c>
    </row>
    <row r="185" spans="1:8" ht="21" customHeight="1" x14ac:dyDescent="0.25">
      <c r="A185" s="755">
        <v>112001190052</v>
      </c>
      <c r="B185" s="447" t="s">
        <v>1225</v>
      </c>
      <c r="C185" s="711" t="s">
        <v>92</v>
      </c>
      <c r="D185" s="712" t="s">
        <v>1180</v>
      </c>
      <c r="E185" s="481">
        <v>70111</v>
      </c>
      <c r="F185" s="713" t="s">
        <v>1048</v>
      </c>
      <c r="G185" s="462">
        <v>20000000</v>
      </c>
      <c r="H185" s="462">
        <v>20000000</v>
      </c>
    </row>
    <row r="186" spans="1:8" ht="21" customHeight="1" x14ac:dyDescent="0.25">
      <c r="A186" s="755">
        <v>112001190053</v>
      </c>
      <c r="B186" s="447" t="s">
        <v>1226</v>
      </c>
      <c r="C186" s="711" t="s">
        <v>92</v>
      </c>
      <c r="D186" s="712" t="s">
        <v>1180</v>
      </c>
      <c r="E186" s="481">
        <v>70111</v>
      </c>
      <c r="F186" s="713" t="s">
        <v>1048</v>
      </c>
      <c r="G186" s="462">
        <v>5000000</v>
      </c>
      <c r="H186" s="462">
        <v>5000000</v>
      </c>
    </row>
    <row r="187" spans="1:8" ht="21" customHeight="1" x14ac:dyDescent="0.25">
      <c r="A187" s="755">
        <v>112001190054</v>
      </c>
      <c r="B187" s="447" t="s">
        <v>1227</v>
      </c>
      <c r="C187" s="711"/>
      <c r="D187" s="712"/>
      <c r="E187" s="481"/>
      <c r="F187" s="713"/>
      <c r="G187" s="462"/>
      <c r="H187" s="462">
        <v>120000000</v>
      </c>
    </row>
    <row r="188" spans="1:8" ht="21" customHeight="1" x14ac:dyDescent="0.25">
      <c r="A188" s="755">
        <v>112001190055</v>
      </c>
      <c r="B188" s="447" t="s">
        <v>1228</v>
      </c>
      <c r="C188" s="711" t="s">
        <v>92</v>
      </c>
      <c r="D188" s="712" t="s">
        <v>1180</v>
      </c>
      <c r="E188" s="481">
        <v>70111</v>
      </c>
      <c r="F188" s="713" t="s">
        <v>1048</v>
      </c>
      <c r="G188" s="462">
        <f>250000000+10000000+10000000</f>
        <v>270000000</v>
      </c>
      <c r="H188" s="462">
        <f>250000000+10000000+10000000</f>
        <v>270000000</v>
      </c>
    </row>
    <row r="189" spans="1:8" ht="21" customHeight="1" x14ac:dyDescent="0.25">
      <c r="A189" s="755">
        <v>112001190056</v>
      </c>
      <c r="B189" s="430" t="s">
        <v>1229</v>
      </c>
      <c r="C189" s="711" t="s">
        <v>92</v>
      </c>
      <c r="D189" s="712" t="s">
        <v>1180</v>
      </c>
      <c r="E189" s="481">
        <v>70111</v>
      </c>
      <c r="F189" s="713" t="s">
        <v>1048</v>
      </c>
      <c r="G189" s="462">
        <v>250000000</v>
      </c>
      <c r="H189" s="462">
        <v>200000000</v>
      </c>
    </row>
    <row r="190" spans="1:8" ht="21" customHeight="1" x14ac:dyDescent="0.25">
      <c r="A190" s="755">
        <v>112001190057</v>
      </c>
      <c r="B190" s="430" t="s">
        <v>1230</v>
      </c>
      <c r="C190" s="711" t="s">
        <v>92</v>
      </c>
      <c r="D190" s="712" t="s">
        <v>1180</v>
      </c>
      <c r="E190" s="481">
        <v>70111</v>
      </c>
      <c r="F190" s="713" t="s">
        <v>1048</v>
      </c>
      <c r="G190" s="462">
        <v>10000000</v>
      </c>
      <c r="H190" s="462">
        <v>10000000</v>
      </c>
    </row>
    <row r="191" spans="1:8" ht="21" customHeight="1" x14ac:dyDescent="0.25">
      <c r="A191" s="755">
        <v>112001190058</v>
      </c>
      <c r="B191" s="447" t="s">
        <v>1090</v>
      </c>
      <c r="C191" s="711" t="s">
        <v>92</v>
      </c>
      <c r="D191" s="712" t="s">
        <v>1180</v>
      </c>
      <c r="E191" s="481">
        <v>70111</v>
      </c>
      <c r="F191" s="713" t="s">
        <v>1048</v>
      </c>
      <c r="G191" s="462">
        <v>1000000</v>
      </c>
      <c r="H191" s="462">
        <f>1000000+1000000</f>
        <v>2000000</v>
      </c>
    </row>
    <row r="192" spans="1:8" ht="21" customHeight="1" x14ac:dyDescent="0.25">
      <c r="A192" s="755">
        <v>112001190059</v>
      </c>
      <c r="B192" s="447" t="s">
        <v>1231</v>
      </c>
      <c r="C192" s="711" t="s">
        <v>92</v>
      </c>
      <c r="D192" s="712" t="s">
        <v>1180</v>
      </c>
      <c r="E192" s="481">
        <v>70111</v>
      </c>
      <c r="F192" s="713" t="s">
        <v>1048</v>
      </c>
      <c r="G192" s="462">
        <v>10000000</v>
      </c>
      <c r="H192" s="462">
        <v>10000000</v>
      </c>
    </row>
    <row r="193" spans="1:9" ht="21" customHeight="1" x14ac:dyDescent="0.25">
      <c r="A193" s="755">
        <v>112001190060</v>
      </c>
      <c r="B193" s="447" t="s">
        <v>1232</v>
      </c>
      <c r="C193" s="711" t="s">
        <v>92</v>
      </c>
      <c r="D193" s="712" t="s">
        <v>1180</v>
      </c>
      <c r="E193" s="481">
        <v>70111</v>
      </c>
      <c r="F193" s="713" t="s">
        <v>1048</v>
      </c>
      <c r="G193" s="462">
        <v>40000000</v>
      </c>
      <c r="H193" s="462">
        <v>40000000</v>
      </c>
    </row>
    <row r="194" spans="1:9" ht="74.25" customHeight="1" x14ac:dyDescent="0.25">
      <c r="A194" s="756"/>
      <c r="B194" s="448">
        <v>54</v>
      </c>
      <c r="C194" s="722"/>
      <c r="D194" s="720"/>
      <c r="E194" s="757"/>
      <c r="F194" s="758"/>
      <c r="G194" s="759"/>
      <c r="H194" s="759"/>
    </row>
    <row r="195" spans="1:9" ht="20.100000000000001" customHeight="1" x14ac:dyDescent="0.25">
      <c r="A195" s="463"/>
      <c r="B195" s="873" t="s">
        <v>1192</v>
      </c>
      <c r="C195" s="711"/>
      <c r="D195" s="712"/>
      <c r="E195" s="481"/>
      <c r="F195" s="713"/>
      <c r="G195" s="462"/>
      <c r="H195" s="462"/>
    </row>
    <row r="196" spans="1:9" ht="20.100000000000001" customHeight="1" x14ac:dyDescent="0.25">
      <c r="A196" s="755">
        <v>112001190061</v>
      </c>
      <c r="B196" s="447" t="s">
        <v>1233</v>
      </c>
      <c r="C196" s="711" t="s">
        <v>92</v>
      </c>
      <c r="D196" s="712" t="s">
        <v>1180</v>
      </c>
      <c r="E196" s="481">
        <v>70111</v>
      </c>
      <c r="F196" s="713" t="s">
        <v>1048</v>
      </c>
      <c r="G196" s="462">
        <v>2000000</v>
      </c>
      <c r="H196" s="462">
        <f>2000000+3000000</f>
        <v>5000000</v>
      </c>
    </row>
    <row r="197" spans="1:9" ht="30" customHeight="1" x14ac:dyDescent="0.25">
      <c r="A197" s="755">
        <v>112001190062</v>
      </c>
      <c r="B197" s="430" t="s">
        <v>2067</v>
      </c>
      <c r="C197" s="711" t="s">
        <v>92</v>
      </c>
      <c r="D197" s="712" t="s">
        <v>1180</v>
      </c>
      <c r="E197" s="481">
        <v>70111</v>
      </c>
      <c r="F197" s="713" t="s">
        <v>1048</v>
      </c>
      <c r="G197" s="462">
        <v>120000000</v>
      </c>
      <c r="H197" s="462">
        <v>70000000</v>
      </c>
    </row>
    <row r="198" spans="1:9" ht="30" customHeight="1" x14ac:dyDescent="0.25">
      <c r="A198" s="755">
        <v>112001190063</v>
      </c>
      <c r="B198" s="430" t="s">
        <v>2066</v>
      </c>
      <c r="C198" s="711"/>
      <c r="D198" s="712"/>
      <c r="E198" s="481"/>
      <c r="F198" s="713"/>
      <c r="G198" s="462"/>
      <c r="H198" s="462">
        <v>50000000</v>
      </c>
    </row>
    <row r="199" spans="1:9" ht="20.100000000000001" customHeight="1" x14ac:dyDescent="0.25">
      <c r="A199" s="755">
        <v>112001190064</v>
      </c>
      <c r="B199" s="447" t="s">
        <v>1234</v>
      </c>
      <c r="C199" s="711" t="s">
        <v>92</v>
      </c>
      <c r="D199" s="712" t="s">
        <v>1180</v>
      </c>
      <c r="E199" s="481">
        <v>70111</v>
      </c>
      <c r="F199" s="713" t="s">
        <v>1048</v>
      </c>
      <c r="G199" s="462">
        <v>10000000</v>
      </c>
      <c r="H199" s="462">
        <f>10000000+40000000</f>
        <v>50000000</v>
      </c>
    </row>
    <row r="200" spans="1:9" ht="20.100000000000001" customHeight="1" x14ac:dyDescent="0.25">
      <c r="A200" s="755">
        <v>112001190065</v>
      </c>
      <c r="B200" s="447" t="s">
        <v>1235</v>
      </c>
      <c r="C200" s="711" t="s">
        <v>92</v>
      </c>
      <c r="D200" s="712" t="s">
        <v>1180</v>
      </c>
      <c r="E200" s="481">
        <v>70111</v>
      </c>
      <c r="F200" s="713" t="s">
        <v>1048</v>
      </c>
      <c r="G200" s="462">
        <v>40000000</v>
      </c>
      <c r="H200" s="462">
        <v>40000000</v>
      </c>
    </row>
    <row r="201" spans="1:9" ht="20.100000000000001" customHeight="1" x14ac:dyDescent="0.25">
      <c r="A201" s="755">
        <v>112001190066</v>
      </c>
      <c r="B201" s="430" t="s">
        <v>1236</v>
      </c>
      <c r="C201" s="711" t="s">
        <v>92</v>
      </c>
      <c r="D201" s="712" t="s">
        <v>1180</v>
      </c>
      <c r="E201" s="481">
        <v>70111</v>
      </c>
      <c r="F201" s="713" t="s">
        <v>1048</v>
      </c>
      <c r="G201" s="462">
        <v>50000000</v>
      </c>
      <c r="H201" s="462">
        <v>50000000</v>
      </c>
    </row>
    <row r="202" spans="1:9" ht="20.100000000000001" customHeight="1" x14ac:dyDescent="0.25">
      <c r="A202" s="755">
        <v>112001190067</v>
      </c>
      <c r="B202" s="447" t="s">
        <v>1237</v>
      </c>
      <c r="C202" s="711" t="s">
        <v>92</v>
      </c>
      <c r="D202" s="712" t="s">
        <v>1180</v>
      </c>
      <c r="E202" s="481">
        <v>70111</v>
      </c>
      <c r="F202" s="713"/>
      <c r="G202" s="462">
        <v>40000000</v>
      </c>
      <c r="H202" s="462">
        <v>40000000</v>
      </c>
    </row>
    <row r="203" spans="1:9" ht="20.100000000000001" customHeight="1" x14ac:dyDescent="0.25">
      <c r="A203" s="755">
        <v>112001190068</v>
      </c>
      <c r="B203" s="447" t="s">
        <v>1238</v>
      </c>
      <c r="C203" s="711" t="s">
        <v>92</v>
      </c>
      <c r="D203" s="712" t="s">
        <v>1180</v>
      </c>
      <c r="E203" s="481">
        <v>70111</v>
      </c>
      <c r="F203" s="713"/>
      <c r="G203" s="462">
        <v>50000000</v>
      </c>
      <c r="H203" s="462">
        <v>30000000</v>
      </c>
    </row>
    <row r="204" spans="1:9" ht="20.100000000000001" customHeight="1" x14ac:dyDescent="0.25">
      <c r="A204" s="755">
        <v>112001190068</v>
      </c>
      <c r="B204" s="430" t="s">
        <v>1239</v>
      </c>
      <c r="C204" s="711" t="s">
        <v>92</v>
      </c>
      <c r="D204" s="712" t="s">
        <v>1180</v>
      </c>
      <c r="E204" s="481">
        <v>70111</v>
      </c>
      <c r="F204" s="711" t="s">
        <v>1061</v>
      </c>
      <c r="G204" s="462">
        <v>40000000</v>
      </c>
      <c r="H204" s="462">
        <v>40000000</v>
      </c>
    </row>
    <row r="205" spans="1:9" ht="20.100000000000001" customHeight="1" x14ac:dyDescent="0.25">
      <c r="A205" s="755">
        <v>112001190069</v>
      </c>
      <c r="B205" s="430" t="s">
        <v>2064</v>
      </c>
      <c r="C205" s="711"/>
      <c r="D205" s="712"/>
      <c r="E205" s="481"/>
      <c r="F205" s="711"/>
      <c r="G205" s="462"/>
      <c r="H205" s="462">
        <v>25000000</v>
      </c>
    </row>
    <row r="206" spans="1:9" ht="20.100000000000001" customHeight="1" x14ac:dyDescent="0.25">
      <c r="A206" s="463"/>
      <c r="B206" s="870" t="s">
        <v>1072</v>
      </c>
      <c r="C206" s="712"/>
      <c r="D206" s="712"/>
      <c r="E206" s="463"/>
      <c r="F206" s="463"/>
      <c r="G206" s="473">
        <f>SUM(G130:G204)</f>
        <v>3748000000</v>
      </c>
      <c r="H206" s="473">
        <f>SUM(H130:H154,H155:H188,H189:H205)</f>
        <v>4063000000</v>
      </c>
    </row>
    <row r="207" spans="1:9" ht="20.100000000000001" customHeight="1" x14ac:dyDescent="0.25">
      <c r="A207" s="755">
        <v>112001190069</v>
      </c>
      <c r="B207" s="760" t="s">
        <v>1073</v>
      </c>
      <c r="C207" s="745" t="s">
        <v>92</v>
      </c>
      <c r="D207" s="746" t="s">
        <v>1180</v>
      </c>
      <c r="E207" s="482">
        <v>70111</v>
      </c>
      <c r="F207" s="747" t="s">
        <v>1048</v>
      </c>
      <c r="G207" s="451">
        <v>1800000000</v>
      </c>
      <c r="H207" s="761">
        <f>150000000*12</f>
        <v>1800000000</v>
      </c>
    </row>
    <row r="208" spans="1:9" ht="20.100000000000001" customHeight="1" x14ac:dyDescent="0.25">
      <c r="A208" s="463"/>
      <c r="B208" s="975" t="s">
        <v>1240</v>
      </c>
      <c r="C208" s="975"/>
      <c r="D208" s="975"/>
      <c r="E208" s="975"/>
      <c r="F208" s="975"/>
      <c r="G208" s="473">
        <f>SUM(G206:G207)</f>
        <v>5548000000</v>
      </c>
      <c r="H208" s="473">
        <f>SUM(H206:H207)</f>
        <v>5863000000</v>
      </c>
      <c r="I208" s="450"/>
    </row>
    <row r="209" spans="1:9" ht="30.75" customHeight="1" x14ac:dyDescent="0.25">
      <c r="A209" s="463"/>
      <c r="B209" s="752" t="s">
        <v>921</v>
      </c>
      <c r="C209" s="712"/>
      <c r="D209" s="712"/>
      <c r="E209" s="753"/>
      <c r="F209" s="753"/>
      <c r="G209" s="753"/>
      <c r="H209" s="463"/>
      <c r="I209" s="450"/>
    </row>
    <row r="210" spans="1:9" ht="20.100000000000001" customHeight="1" x14ac:dyDescent="0.25">
      <c r="A210" s="463">
        <v>11130019001</v>
      </c>
      <c r="B210" s="447" t="s">
        <v>1241</v>
      </c>
      <c r="C210" s="711" t="s">
        <v>92</v>
      </c>
      <c r="D210" s="712" t="s">
        <v>439</v>
      </c>
      <c r="E210" s="463">
        <v>70111</v>
      </c>
      <c r="F210" s="711" t="s">
        <v>1061</v>
      </c>
      <c r="G210" s="462">
        <v>900000000</v>
      </c>
      <c r="H210" s="462">
        <v>900000000</v>
      </c>
    </row>
    <row r="211" spans="1:9" ht="20.100000000000001" customHeight="1" x14ac:dyDescent="0.25">
      <c r="A211" s="463">
        <v>11130019002</v>
      </c>
      <c r="B211" s="430" t="s">
        <v>1242</v>
      </c>
      <c r="C211" s="741" t="s">
        <v>92</v>
      </c>
      <c r="D211" s="742" t="s">
        <v>439</v>
      </c>
      <c r="E211" s="762">
        <v>70111</v>
      </c>
      <c r="F211" s="741" t="s">
        <v>1243</v>
      </c>
      <c r="G211" s="451">
        <v>1200000</v>
      </c>
      <c r="H211" s="451">
        <v>1200000</v>
      </c>
    </row>
    <row r="212" spans="1:9" ht="34.5" customHeight="1" x14ac:dyDescent="0.25">
      <c r="A212" s="463">
        <v>11130019003</v>
      </c>
      <c r="B212" s="430" t="s">
        <v>1244</v>
      </c>
      <c r="C212" s="741" t="s">
        <v>92</v>
      </c>
      <c r="D212" s="742" t="s">
        <v>439</v>
      </c>
      <c r="E212" s="762">
        <v>70111</v>
      </c>
      <c r="F212" s="741" t="s">
        <v>1243</v>
      </c>
      <c r="G212" s="451">
        <v>523320000</v>
      </c>
      <c r="H212" s="451">
        <v>523320000</v>
      </c>
    </row>
    <row r="213" spans="1:9" ht="20.100000000000001" customHeight="1" x14ac:dyDescent="0.25">
      <c r="A213" s="463">
        <v>11130019004</v>
      </c>
      <c r="B213" s="430" t="s">
        <v>1245</v>
      </c>
      <c r="C213" s="711" t="s">
        <v>92</v>
      </c>
      <c r="D213" s="712" t="s">
        <v>439</v>
      </c>
      <c r="E213" s="463">
        <v>70111</v>
      </c>
      <c r="F213" s="711" t="s">
        <v>1246</v>
      </c>
      <c r="G213" s="462">
        <v>100000000</v>
      </c>
      <c r="H213" s="462">
        <v>100000000</v>
      </c>
    </row>
    <row r="214" spans="1:9" ht="35.25" customHeight="1" x14ac:dyDescent="0.25">
      <c r="A214" s="463">
        <v>11130019005</v>
      </c>
      <c r="B214" s="430" t="s">
        <v>1247</v>
      </c>
      <c r="C214" s="711" t="s">
        <v>92</v>
      </c>
      <c r="D214" s="712" t="s">
        <v>439</v>
      </c>
      <c r="E214" s="463">
        <v>70111</v>
      </c>
      <c r="F214" s="711" t="s">
        <v>1059</v>
      </c>
      <c r="G214" s="462">
        <v>5000000</v>
      </c>
      <c r="H214" s="462">
        <v>5000000</v>
      </c>
    </row>
    <row r="215" spans="1:9" ht="20.100000000000001" customHeight="1" x14ac:dyDescent="0.25">
      <c r="A215" s="463">
        <v>11130019006</v>
      </c>
      <c r="B215" s="430" t="s">
        <v>1248</v>
      </c>
      <c r="C215" s="711" t="s">
        <v>92</v>
      </c>
      <c r="D215" s="712" t="s">
        <v>439</v>
      </c>
      <c r="E215" s="463">
        <v>70111</v>
      </c>
      <c r="F215" s="713" t="s">
        <v>1048</v>
      </c>
      <c r="G215" s="462">
        <v>6000000</v>
      </c>
      <c r="H215" s="462">
        <v>6000000</v>
      </c>
    </row>
    <row r="216" spans="1:9" ht="20.100000000000001" customHeight="1" x14ac:dyDescent="0.25">
      <c r="A216" s="463">
        <v>11130019007</v>
      </c>
      <c r="B216" s="430" t="s">
        <v>1249</v>
      </c>
      <c r="C216" s="711" t="s">
        <v>92</v>
      </c>
      <c r="D216" s="712" t="s">
        <v>1250</v>
      </c>
      <c r="E216" s="463">
        <v>70111</v>
      </c>
      <c r="F216" s="711" t="s">
        <v>1251</v>
      </c>
      <c r="G216" s="462">
        <v>36000000</v>
      </c>
      <c r="H216" s="462">
        <v>36000000</v>
      </c>
    </row>
    <row r="217" spans="1:9" ht="20.100000000000001" customHeight="1" x14ac:dyDescent="0.25">
      <c r="A217" s="463">
        <v>11130019008</v>
      </c>
      <c r="B217" s="430" t="s">
        <v>1252</v>
      </c>
      <c r="C217" s="711" t="s">
        <v>92</v>
      </c>
      <c r="D217" s="712" t="s">
        <v>439</v>
      </c>
      <c r="E217" s="463">
        <v>70111</v>
      </c>
      <c r="F217" s="711" t="s">
        <v>1061</v>
      </c>
      <c r="G217" s="462">
        <v>50000000</v>
      </c>
      <c r="H217" s="462">
        <v>50000000</v>
      </c>
    </row>
    <row r="218" spans="1:9" ht="20.100000000000001" customHeight="1" x14ac:dyDescent="0.25">
      <c r="A218" s="463"/>
      <c r="B218" s="760" t="s">
        <v>1072</v>
      </c>
      <c r="C218" s="711"/>
      <c r="D218" s="712"/>
      <c r="E218" s="463"/>
      <c r="F218" s="711"/>
      <c r="G218" s="452">
        <f>SUM(G210:G217)</f>
        <v>1621520000</v>
      </c>
      <c r="H218" s="452">
        <f>SUM(H210:H217)</f>
        <v>1621520000</v>
      </c>
    </row>
    <row r="219" spans="1:9" ht="20.100000000000001" customHeight="1" x14ac:dyDescent="0.25">
      <c r="A219" s="463">
        <v>11130019009</v>
      </c>
      <c r="B219" s="430" t="s">
        <v>1253</v>
      </c>
      <c r="C219" s="745" t="s">
        <v>92</v>
      </c>
      <c r="D219" s="746" t="s">
        <v>439</v>
      </c>
      <c r="E219" s="763">
        <v>70111</v>
      </c>
      <c r="F219" s="747" t="s">
        <v>1048</v>
      </c>
      <c r="G219" s="451">
        <v>24300000</v>
      </c>
      <c r="H219" s="451">
        <f>2025000*12</f>
        <v>24300000</v>
      </c>
    </row>
    <row r="220" spans="1:9" ht="20.100000000000001" customHeight="1" x14ac:dyDescent="0.25">
      <c r="A220" s="463"/>
      <c r="B220" s="976" t="s">
        <v>1254</v>
      </c>
      <c r="C220" s="976"/>
      <c r="D220" s="976"/>
      <c r="E220" s="976"/>
      <c r="F220" s="976"/>
      <c r="G220" s="761">
        <f>SUM(G218,G219)</f>
        <v>1645820000</v>
      </c>
      <c r="H220" s="761">
        <f>SUM(H218,H219)</f>
        <v>1645820000</v>
      </c>
    </row>
    <row r="221" spans="1:9" ht="57" customHeight="1" x14ac:dyDescent="0.25">
      <c r="A221" s="756"/>
      <c r="B221" s="764">
        <v>55</v>
      </c>
      <c r="C221" s="765"/>
      <c r="D221" s="765"/>
      <c r="E221" s="765"/>
      <c r="F221" s="765"/>
      <c r="G221" s="766"/>
      <c r="H221" s="766"/>
    </row>
    <row r="222" spans="1:9" ht="18" customHeight="1" x14ac:dyDescent="0.25">
      <c r="A222" s="463">
        <v>11130019010</v>
      </c>
      <c r="B222" s="430" t="s">
        <v>1255</v>
      </c>
      <c r="C222" s="741" t="s">
        <v>92</v>
      </c>
      <c r="D222" s="742" t="s">
        <v>1256</v>
      </c>
      <c r="E222" s="762">
        <v>70111</v>
      </c>
      <c r="F222" s="741" t="s">
        <v>1251</v>
      </c>
      <c r="G222" s="451">
        <v>18000000</v>
      </c>
      <c r="H222" s="451">
        <v>18000000</v>
      </c>
    </row>
    <row r="223" spans="1:9" ht="18" customHeight="1" x14ac:dyDescent="0.25">
      <c r="A223" s="463">
        <v>11130019011</v>
      </c>
      <c r="B223" s="430" t="s">
        <v>1257</v>
      </c>
      <c r="C223" s="767" t="s">
        <v>92</v>
      </c>
      <c r="D223" s="742" t="s">
        <v>1256</v>
      </c>
      <c r="E223" s="762">
        <v>70111</v>
      </c>
      <c r="F223" s="741" t="s">
        <v>1251</v>
      </c>
      <c r="G223" s="451">
        <v>7200000</v>
      </c>
      <c r="H223" s="451">
        <v>7200000</v>
      </c>
    </row>
    <row r="224" spans="1:9" ht="18" customHeight="1" x14ac:dyDescent="0.25">
      <c r="A224" s="463"/>
      <c r="B224" s="760" t="s">
        <v>117</v>
      </c>
      <c r="C224" s="768"/>
      <c r="D224" s="769"/>
      <c r="E224" s="770"/>
      <c r="F224" s="771"/>
      <c r="G224" s="761"/>
      <c r="H224" s="761">
        <f>SUM(H222:H223)</f>
        <v>25200000</v>
      </c>
    </row>
    <row r="225" spans="1:9" ht="18" customHeight="1" x14ac:dyDescent="0.25">
      <c r="A225" s="463">
        <v>11130019012</v>
      </c>
      <c r="B225" s="430" t="s">
        <v>1258</v>
      </c>
      <c r="C225" s="767" t="s">
        <v>92</v>
      </c>
      <c r="D225" s="762" t="s">
        <v>1259</v>
      </c>
      <c r="E225" s="762">
        <v>70111</v>
      </c>
      <c r="F225" s="767" t="s">
        <v>1251</v>
      </c>
      <c r="G225" s="451">
        <v>21000000</v>
      </c>
      <c r="H225" s="451">
        <v>21000000</v>
      </c>
      <c r="I225" s="450"/>
    </row>
    <row r="226" spans="1:9" ht="18" customHeight="1" x14ac:dyDescent="0.25">
      <c r="A226" s="463">
        <v>11130019013</v>
      </c>
      <c r="B226" s="430" t="s">
        <v>1260</v>
      </c>
      <c r="C226" s="741" t="s">
        <v>92</v>
      </c>
      <c r="D226" s="742" t="s">
        <v>1259</v>
      </c>
      <c r="E226" s="762">
        <v>70111</v>
      </c>
      <c r="F226" s="741" t="s">
        <v>1251</v>
      </c>
      <c r="G226" s="451">
        <v>22500000</v>
      </c>
      <c r="H226" s="451">
        <v>22500000</v>
      </c>
      <c r="I226" s="450"/>
    </row>
    <row r="227" spans="1:9" ht="18" customHeight="1" x14ac:dyDescent="0.25">
      <c r="A227" s="463"/>
      <c r="B227" s="760" t="s">
        <v>117</v>
      </c>
      <c r="C227" s="771"/>
      <c r="D227" s="769"/>
      <c r="E227" s="770"/>
      <c r="F227" s="771"/>
      <c r="G227" s="761"/>
      <c r="H227" s="761">
        <f>SUM(H225:H226)</f>
        <v>43500000</v>
      </c>
    </row>
    <row r="228" spans="1:9" ht="18" customHeight="1" x14ac:dyDescent="0.25">
      <c r="A228" s="463">
        <v>11130019014</v>
      </c>
      <c r="B228" s="430" t="s">
        <v>735</v>
      </c>
      <c r="C228" s="741" t="s">
        <v>92</v>
      </c>
      <c r="D228" s="742" t="s">
        <v>1261</v>
      </c>
      <c r="E228" s="762">
        <v>70111</v>
      </c>
      <c r="F228" s="741" t="s">
        <v>1251</v>
      </c>
      <c r="G228" s="451">
        <v>44249940</v>
      </c>
      <c r="H228" s="451">
        <f>4187495*12</f>
        <v>50249940</v>
      </c>
    </row>
    <row r="229" spans="1:9" ht="18" customHeight="1" x14ac:dyDescent="0.25">
      <c r="A229" s="463">
        <v>11130019015</v>
      </c>
      <c r="B229" s="430" t="s">
        <v>736</v>
      </c>
      <c r="C229" s="767" t="s">
        <v>92</v>
      </c>
      <c r="D229" s="742" t="s">
        <v>1262</v>
      </c>
      <c r="E229" s="762">
        <v>70111</v>
      </c>
      <c r="F229" s="767" t="s">
        <v>1251</v>
      </c>
      <c r="G229" s="451">
        <v>50000000</v>
      </c>
      <c r="H229" s="451">
        <v>50000000</v>
      </c>
    </row>
    <row r="230" spans="1:9" ht="18" customHeight="1" x14ac:dyDescent="0.25">
      <c r="A230" s="463">
        <v>11130019016</v>
      </c>
      <c r="B230" s="430" t="s">
        <v>737</v>
      </c>
      <c r="C230" s="741" t="s">
        <v>92</v>
      </c>
      <c r="D230" s="742" t="s">
        <v>1263</v>
      </c>
      <c r="E230" s="762">
        <v>70111</v>
      </c>
      <c r="F230" s="741" t="s">
        <v>1251</v>
      </c>
      <c r="G230" s="451">
        <v>150000000</v>
      </c>
      <c r="H230" s="451">
        <v>150000000</v>
      </c>
    </row>
    <row r="231" spans="1:9" ht="18" customHeight="1" x14ac:dyDescent="0.25">
      <c r="A231" s="463">
        <v>11130019017</v>
      </c>
      <c r="B231" s="430" t="s">
        <v>737</v>
      </c>
      <c r="C231" s="741" t="s">
        <v>92</v>
      </c>
      <c r="D231" s="742" t="s">
        <v>1263</v>
      </c>
      <c r="E231" s="762">
        <v>70111</v>
      </c>
      <c r="F231" s="741" t="s">
        <v>1251</v>
      </c>
      <c r="G231" s="451">
        <v>11250000</v>
      </c>
      <c r="H231" s="451">
        <f>1500000*12</f>
        <v>18000000</v>
      </c>
    </row>
    <row r="232" spans="1:9" ht="18" customHeight="1" x14ac:dyDescent="0.25">
      <c r="A232" s="463"/>
      <c r="B232" s="760" t="s">
        <v>117</v>
      </c>
      <c r="C232" s="771"/>
      <c r="D232" s="769"/>
      <c r="E232" s="770"/>
      <c r="F232" s="771"/>
      <c r="G232" s="761"/>
      <c r="H232" s="761">
        <f>SUM(H230:H231)</f>
        <v>168000000</v>
      </c>
    </row>
    <row r="233" spans="1:9" ht="18" customHeight="1" x14ac:dyDescent="0.25">
      <c r="A233" s="463">
        <v>11130019018</v>
      </c>
      <c r="B233" s="430" t="s">
        <v>738</v>
      </c>
      <c r="C233" s="741" t="s">
        <v>92</v>
      </c>
      <c r="D233" s="742" t="s">
        <v>1264</v>
      </c>
      <c r="E233" s="762">
        <v>70111</v>
      </c>
      <c r="F233" s="741" t="s">
        <v>1251</v>
      </c>
      <c r="G233" s="451">
        <v>18749976</v>
      </c>
      <c r="H233" s="451">
        <f>1562498*12</f>
        <v>18749976</v>
      </c>
    </row>
    <row r="234" spans="1:9" ht="18" customHeight="1" x14ac:dyDescent="0.25">
      <c r="A234" s="463">
        <v>11130019019</v>
      </c>
      <c r="B234" s="430" t="s">
        <v>739</v>
      </c>
      <c r="C234" s="741" t="s">
        <v>92</v>
      </c>
      <c r="D234" s="742" t="s">
        <v>1265</v>
      </c>
      <c r="E234" s="762">
        <v>70111</v>
      </c>
      <c r="F234" s="741" t="s">
        <v>1251</v>
      </c>
      <c r="G234" s="451">
        <f>H234</f>
        <v>3375000</v>
      </c>
      <c r="H234" s="451">
        <f>281250*12</f>
        <v>3375000</v>
      </c>
    </row>
    <row r="235" spans="1:9" ht="18" customHeight="1" x14ac:dyDescent="0.25">
      <c r="A235" s="463">
        <v>11130019020</v>
      </c>
      <c r="B235" s="430" t="s">
        <v>1266</v>
      </c>
      <c r="C235" s="711" t="s">
        <v>92</v>
      </c>
      <c r="D235" s="712" t="s">
        <v>1267</v>
      </c>
      <c r="E235" s="463">
        <v>70111</v>
      </c>
      <c r="F235" s="711" t="s">
        <v>1059</v>
      </c>
      <c r="G235" s="462">
        <v>10000000</v>
      </c>
      <c r="H235" s="462">
        <v>10000000</v>
      </c>
    </row>
    <row r="236" spans="1:9" ht="18" customHeight="1" x14ac:dyDescent="0.25">
      <c r="A236" s="463">
        <v>11130019021</v>
      </c>
      <c r="B236" s="430" t="s">
        <v>1268</v>
      </c>
      <c r="C236" s="711"/>
      <c r="D236" s="712"/>
      <c r="E236" s="463"/>
      <c r="F236" s="711"/>
      <c r="G236" s="462">
        <v>1800000</v>
      </c>
      <c r="H236" s="462">
        <v>1800000</v>
      </c>
    </row>
    <row r="237" spans="1:9" ht="18" customHeight="1" x14ac:dyDescent="0.25">
      <c r="A237" s="463"/>
      <c r="B237" s="760" t="s">
        <v>117</v>
      </c>
      <c r="C237" s="772"/>
      <c r="D237" s="772"/>
      <c r="E237" s="772"/>
      <c r="F237" s="772"/>
      <c r="G237" s="772"/>
      <c r="H237" s="761">
        <f>SUM(H235:H236)</f>
        <v>11800000</v>
      </c>
    </row>
    <row r="238" spans="1:9" ht="18" customHeight="1" x14ac:dyDescent="0.25">
      <c r="A238" s="463">
        <v>11130019022</v>
      </c>
      <c r="B238" s="430" t="s">
        <v>741</v>
      </c>
      <c r="C238" s="741" t="s">
        <v>92</v>
      </c>
      <c r="D238" s="742" t="s">
        <v>1269</v>
      </c>
      <c r="E238" s="762">
        <v>70111</v>
      </c>
      <c r="F238" s="741" t="s">
        <v>1251</v>
      </c>
      <c r="G238" s="451">
        <v>113400000</v>
      </c>
      <c r="H238" s="451">
        <v>113400000</v>
      </c>
    </row>
    <row r="239" spans="1:9" ht="18" customHeight="1" x14ac:dyDescent="0.25">
      <c r="A239" s="463">
        <v>11130019023</v>
      </c>
      <c r="B239" s="430" t="s">
        <v>1270</v>
      </c>
      <c r="C239" s="741" t="s">
        <v>92</v>
      </c>
      <c r="D239" s="742" t="s">
        <v>1269</v>
      </c>
      <c r="E239" s="762">
        <v>70111</v>
      </c>
      <c r="F239" s="741" t="s">
        <v>1251</v>
      </c>
      <c r="G239" s="451">
        <v>3150000</v>
      </c>
      <c r="H239" s="451">
        <f>262500*12</f>
        <v>3150000</v>
      </c>
    </row>
    <row r="240" spans="1:9" ht="18" customHeight="1" x14ac:dyDescent="0.25">
      <c r="A240" s="463"/>
      <c r="B240" s="760" t="s">
        <v>117</v>
      </c>
      <c r="C240" s="773"/>
      <c r="D240" s="773"/>
      <c r="E240" s="773"/>
      <c r="F240" s="773"/>
      <c r="G240" s="773"/>
      <c r="H240" s="761">
        <f>SUM(H238:H239)</f>
        <v>116550000</v>
      </c>
      <c r="I240" s="450"/>
    </row>
    <row r="241" spans="1:10" ht="18" customHeight="1" x14ac:dyDescent="0.25">
      <c r="A241" s="463"/>
      <c r="B241" s="774" t="s">
        <v>1271</v>
      </c>
      <c r="C241" s="712"/>
      <c r="D241" s="712"/>
      <c r="E241" s="775"/>
      <c r="F241" s="775"/>
      <c r="G241" s="775"/>
      <c r="H241" s="775"/>
    </row>
    <row r="242" spans="1:10" ht="18" customHeight="1" x14ac:dyDescent="0.25">
      <c r="A242" s="463">
        <v>11130019024</v>
      </c>
      <c r="B242" s="430" t="s">
        <v>1272</v>
      </c>
      <c r="C242" s="745">
        <v>2101</v>
      </c>
      <c r="D242" s="746" t="s">
        <v>1273</v>
      </c>
      <c r="E242" s="763">
        <v>70111</v>
      </c>
      <c r="F242" s="745" t="s">
        <v>1048</v>
      </c>
      <c r="G242" s="451">
        <v>13000000</v>
      </c>
      <c r="H242" s="451">
        <v>13000000</v>
      </c>
    </row>
    <row r="243" spans="1:10" ht="18" customHeight="1" x14ac:dyDescent="0.25">
      <c r="A243" s="463">
        <v>11130019025</v>
      </c>
      <c r="B243" s="430" t="s">
        <v>1274</v>
      </c>
      <c r="C243" s="745">
        <v>2101</v>
      </c>
      <c r="D243" s="746" t="s">
        <v>1273</v>
      </c>
      <c r="E243" s="763">
        <v>70111</v>
      </c>
      <c r="F243" s="745" t="s">
        <v>1048</v>
      </c>
      <c r="G243" s="451">
        <v>10000000</v>
      </c>
      <c r="H243" s="451">
        <v>10000000</v>
      </c>
    </row>
    <row r="244" spans="1:10" ht="18" customHeight="1" x14ac:dyDescent="0.25">
      <c r="A244" s="463">
        <v>11130019026</v>
      </c>
      <c r="B244" s="430" t="s">
        <v>1275</v>
      </c>
      <c r="C244" s="745">
        <v>2101</v>
      </c>
      <c r="D244" s="746" t="s">
        <v>1273</v>
      </c>
      <c r="E244" s="763">
        <v>70111</v>
      </c>
      <c r="F244" s="745" t="s">
        <v>1048</v>
      </c>
      <c r="G244" s="451">
        <v>12000000</v>
      </c>
      <c r="H244" s="451">
        <v>12000000</v>
      </c>
    </row>
    <row r="245" spans="1:10" ht="18" customHeight="1" x14ac:dyDescent="0.25">
      <c r="A245" s="463">
        <v>11130019027</v>
      </c>
      <c r="B245" s="430" t="s">
        <v>1276</v>
      </c>
      <c r="C245" s="745">
        <v>2101</v>
      </c>
      <c r="D245" s="746" t="s">
        <v>1273</v>
      </c>
      <c r="E245" s="763">
        <v>70111</v>
      </c>
      <c r="F245" s="745" t="s">
        <v>1048</v>
      </c>
      <c r="G245" s="451">
        <v>50000000</v>
      </c>
      <c r="H245" s="451">
        <v>50000000</v>
      </c>
    </row>
    <row r="246" spans="1:10" ht="18" customHeight="1" x14ac:dyDescent="0.25">
      <c r="A246" s="463">
        <v>11130019028</v>
      </c>
      <c r="B246" s="430" t="s">
        <v>1277</v>
      </c>
      <c r="C246" s="745">
        <v>2101</v>
      </c>
      <c r="D246" s="746" t="s">
        <v>1273</v>
      </c>
      <c r="E246" s="763">
        <v>70111</v>
      </c>
      <c r="F246" s="745" t="s">
        <v>1048</v>
      </c>
      <c r="G246" s="451">
        <v>35000000</v>
      </c>
      <c r="H246" s="451">
        <v>35000000</v>
      </c>
    </row>
    <row r="247" spans="1:10" ht="18" customHeight="1" x14ac:dyDescent="0.25">
      <c r="A247" s="463">
        <v>11130019029</v>
      </c>
      <c r="B247" s="430" t="s">
        <v>1278</v>
      </c>
      <c r="C247" s="745">
        <v>2101</v>
      </c>
      <c r="D247" s="746" t="s">
        <v>1273</v>
      </c>
      <c r="E247" s="763">
        <v>70111</v>
      </c>
      <c r="F247" s="745" t="s">
        <v>1048</v>
      </c>
      <c r="G247" s="451">
        <v>20000000</v>
      </c>
      <c r="H247" s="451">
        <v>20000000</v>
      </c>
    </row>
    <row r="248" spans="1:10" s="455" customFormat="1" ht="18" customHeight="1" x14ac:dyDescent="0.25">
      <c r="A248" s="463">
        <v>11130019030</v>
      </c>
      <c r="B248" s="430" t="s">
        <v>1279</v>
      </c>
      <c r="C248" s="745">
        <v>2101</v>
      </c>
      <c r="D248" s="746" t="s">
        <v>1273</v>
      </c>
      <c r="E248" s="763">
        <v>70111</v>
      </c>
      <c r="F248" s="745" t="s">
        <v>1048</v>
      </c>
      <c r="G248" s="451">
        <v>10000000</v>
      </c>
      <c r="H248" s="451">
        <v>10000000</v>
      </c>
      <c r="I248" s="454"/>
      <c r="J248" s="454"/>
    </row>
    <row r="249" spans="1:10" ht="18" customHeight="1" x14ac:dyDescent="0.25">
      <c r="A249" s="463"/>
      <c r="B249" s="976" t="s">
        <v>1280</v>
      </c>
      <c r="C249" s="976"/>
      <c r="D249" s="976"/>
      <c r="E249" s="976"/>
      <c r="F249" s="976"/>
      <c r="G249" s="761">
        <f>SUM(G242:G248)</f>
        <v>150000000</v>
      </c>
      <c r="H249" s="761">
        <f>SUM(H242:H248)</f>
        <v>150000000</v>
      </c>
      <c r="I249" s="450"/>
    </row>
    <row r="250" spans="1:10" ht="75.75" customHeight="1" x14ac:dyDescent="0.25">
      <c r="A250" s="756"/>
      <c r="B250" s="764">
        <v>56</v>
      </c>
      <c r="C250" s="765"/>
      <c r="D250" s="765"/>
      <c r="E250" s="765"/>
      <c r="F250" s="765"/>
      <c r="G250" s="766"/>
      <c r="H250" s="766"/>
      <c r="I250" s="450"/>
    </row>
    <row r="251" spans="1:10" s="455" customFormat="1" ht="32.25" customHeight="1" x14ac:dyDescent="0.25">
      <c r="A251" s="763"/>
      <c r="B251" s="752" t="s">
        <v>922</v>
      </c>
      <c r="C251" s="776"/>
      <c r="D251" s="776"/>
      <c r="E251" s="753"/>
      <c r="F251" s="753"/>
      <c r="G251" s="753"/>
      <c r="H251" s="870"/>
      <c r="I251" s="454"/>
      <c r="J251" s="454"/>
    </row>
    <row r="252" spans="1:10" ht="21" customHeight="1" x14ac:dyDescent="0.25">
      <c r="A252" s="777" t="s">
        <v>1281</v>
      </c>
      <c r="B252" s="430" t="s">
        <v>1282</v>
      </c>
      <c r="C252" s="711" t="s">
        <v>92</v>
      </c>
      <c r="D252" s="712" t="s">
        <v>1283</v>
      </c>
      <c r="E252" s="463">
        <v>70111</v>
      </c>
      <c r="F252" s="713" t="s">
        <v>1048</v>
      </c>
      <c r="G252" s="462">
        <v>1900000</v>
      </c>
      <c r="H252" s="462">
        <v>1900000</v>
      </c>
    </row>
    <row r="253" spans="1:10" ht="21" customHeight="1" x14ac:dyDescent="0.25">
      <c r="A253" s="777" t="s">
        <v>1284</v>
      </c>
      <c r="B253" s="430" t="s">
        <v>1129</v>
      </c>
      <c r="C253" s="711" t="s">
        <v>92</v>
      </c>
      <c r="D253" s="712" t="s">
        <v>1283</v>
      </c>
      <c r="E253" s="463">
        <v>70111</v>
      </c>
      <c r="F253" s="713" t="s">
        <v>1048</v>
      </c>
      <c r="G253" s="462">
        <v>825782.48</v>
      </c>
      <c r="H253" s="462">
        <v>825782.48</v>
      </c>
    </row>
    <row r="254" spans="1:10" ht="21" customHeight="1" x14ac:dyDescent="0.25">
      <c r="A254" s="777" t="s">
        <v>1285</v>
      </c>
      <c r="B254" s="430" t="s">
        <v>1132</v>
      </c>
      <c r="C254" s="711" t="s">
        <v>92</v>
      </c>
      <c r="D254" s="712" t="s">
        <v>1283</v>
      </c>
      <c r="E254" s="463">
        <v>70111</v>
      </c>
      <c r="F254" s="713" t="s">
        <v>1048</v>
      </c>
      <c r="G254" s="462">
        <v>45600</v>
      </c>
      <c r="H254" s="462">
        <v>45600</v>
      </c>
    </row>
    <row r="255" spans="1:10" ht="21" customHeight="1" x14ac:dyDescent="0.25">
      <c r="A255" s="777" t="s">
        <v>1286</v>
      </c>
      <c r="B255" s="430" t="s">
        <v>1133</v>
      </c>
      <c r="C255" s="711" t="s">
        <v>92</v>
      </c>
      <c r="D255" s="712" t="s">
        <v>1283</v>
      </c>
      <c r="E255" s="463">
        <v>70111</v>
      </c>
      <c r="F255" s="713" t="s">
        <v>1048</v>
      </c>
      <c r="G255" s="462">
        <v>144000</v>
      </c>
      <c r="H255" s="462">
        <v>144000</v>
      </c>
    </row>
    <row r="256" spans="1:10" ht="21" customHeight="1" x14ac:dyDescent="0.25">
      <c r="A256" s="777" t="s">
        <v>1287</v>
      </c>
      <c r="B256" s="430" t="s">
        <v>1134</v>
      </c>
      <c r="C256" s="711" t="s">
        <v>92</v>
      </c>
      <c r="D256" s="712" t="s">
        <v>1283</v>
      </c>
      <c r="E256" s="463">
        <v>70111</v>
      </c>
      <c r="F256" s="713" t="s">
        <v>1048</v>
      </c>
      <c r="G256" s="462">
        <v>60000</v>
      </c>
      <c r="H256" s="462">
        <v>60000</v>
      </c>
    </row>
    <row r="257" spans="1:9" ht="21" customHeight="1" x14ac:dyDescent="0.25">
      <c r="A257" s="777" t="s">
        <v>1288</v>
      </c>
      <c r="B257" s="430" t="s">
        <v>1135</v>
      </c>
      <c r="C257" s="711" t="s">
        <v>92</v>
      </c>
      <c r="D257" s="712" t="s">
        <v>1283</v>
      </c>
      <c r="E257" s="463">
        <v>70111</v>
      </c>
      <c r="F257" s="713" t="s">
        <v>1048</v>
      </c>
      <c r="G257" s="462">
        <v>560000</v>
      </c>
      <c r="H257" s="462">
        <v>560000</v>
      </c>
    </row>
    <row r="258" spans="1:9" ht="21" customHeight="1" x14ac:dyDescent="0.25">
      <c r="A258" s="777" t="s">
        <v>1289</v>
      </c>
      <c r="B258" s="430" t="s">
        <v>1137</v>
      </c>
      <c r="C258" s="711" t="s">
        <v>92</v>
      </c>
      <c r="D258" s="712" t="s">
        <v>1283</v>
      </c>
      <c r="E258" s="463">
        <v>70111</v>
      </c>
      <c r="F258" s="713" t="s">
        <v>1048</v>
      </c>
      <c r="G258" s="462">
        <v>960000</v>
      </c>
      <c r="H258" s="462">
        <v>960000</v>
      </c>
    </row>
    <row r="259" spans="1:9" ht="21" customHeight="1" x14ac:dyDescent="0.25">
      <c r="A259" s="777" t="s">
        <v>1290</v>
      </c>
      <c r="B259" s="430" t="s">
        <v>1138</v>
      </c>
      <c r="C259" s="711" t="s">
        <v>92</v>
      </c>
      <c r="D259" s="712" t="s">
        <v>1283</v>
      </c>
      <c r="E259" s="463">
        <v>70111</v>
      </c>
      <c r="F259" s="713" t="s">
        <v>1048</v>
      </c>
      <c r="G259" s="462">
        <v>36000</v>
      </c>
      <c r="H259" s="462">
        <v>36000</v>
      </c>
    </row>
    <row r="260" spans="1:9" ht="21" customHeight="1" x14ac:dyDescent="0.25">
      <c r="A260" s="777" t="s">
        <v>1291</v>
      </c>
      <c r="B260" s="430" t="s">
        <v>1139</v>
      </c>
      <c r="C260" s="711" t="s">
        <v>92</v>
      </c>
      <c r="D260" s="712" t="s">
        <v>1283</v>
      </c>
      <c r="E260" s="463">
        <v>70111</v>
      </c>
      <c r="F260" s="713" t="s">
        <v>1048</v>
      </c>
      <c r="G260" s="462">
        <v>2474320</v>
      </c>
      <c r="H260" s="462">
        <v>2474320</v>
      </c>
    </row>
    <row r="261" spans="1:9" ht="21" customHeight="1" x14ac:dyDescent="0.25">
      <c r="A261" s="777" t="s">
        <v>1292</v>
      </c>
      <c r="B261" s="430" t="s">
        <v>1293</v>
      </c>
      <c r="C261" s="711" t="s">
        <v>92</v>
      </c>
      <c r="D261" s="712" t="s">
        <v>1283</v>
      </c>
      <c r="E261" s="463">
        <v>70111</v>
      </c>
      <c r="F261" s="713" t="s">
        <v>1048</v>
      </c>
      <c r="G261" s="462">
        <v>2160000</v>
      </c>
      <c r="H261" s="462">
        <v>2160000</v>
      </c>
    </row>
    <row r="262" spans="1:9" ht="21" customHeight="1" x14ac:dyDescent="0.25">
      <c r="A262" s="777" t="s">
        <v>1294</v>
      </c>
      <c r="B262" s="430" t="s">
        <v>1144</v>
      </c>
      <c r="C262" s="711" t="s">
        <v>92</v>
      </c>
      <c r="D262" s="712" t="s">
        <v>1283</v>
      </c>
      <c r="E262" s="463">
        <v>70111</v>
      </c>
      <c r="F262" s="713" t="s">
        <v>1048</v>
      </c>
      <c r="G262" s="462">
        <v>900000</v>
      </c>
      <c r="H262" s="462">
        <v>900000</v>
      </c>
    </row>
    <row r="263" spans="1:9" ht="21" customHeight="1" x14ac:dyDescent="0.25">
      <c r="A263" s="777" t="s">
        <v>1295</v>
      </c>
      <c r="B263" s="430" t="s">
        <v>1145</v>
      </c>
      <c r="C263" s="711" t="s">
        <v>92</v>
      </c>
      <c r="D263" s="712" t="s">
        <v>1283</v>
      </c>
      <c r="E263" s="463">
        <v>70111</v>
      </c>
      <c r="F263" s="711" t="s">
        <v>1056</v>
      </c>
      <c r="G263" s="462">
        <v>2324730.52</v>
      </c>
      <c r="H263" s="462">
        <v>2324730.52</v>
      </c>
    </row>
    <row r="264" spans="1:9" ht="21" customHeight="1" x14ac:dyDescent="0.25">
      <c r="A264" s="777" t="s">
        <v>1296</v>
      </c>
      <c r="B264" s="430" t="s">
        <v>1149</v>
      </c>
      <c r="C264" s="711" t="s">
        <v>92</v>
      </c>
      <c r="D264" s="712" t="s">
        <v>1283</v>
      </c>
      <c r="E264" s="463">
        <v>70111</v>
      </c>
      <c r="F264" s="713" t="s">
        <v>1048</v>
      </c>
      <c r="G264" s="462">
        <v>560000</v>
      </c>
      <c r="H264" s="462">
        <v>560000</v>
      </c>
    </row>
    <row r="265" spans="1:9" ht="21" customHeight="1" x14ac:dyDescent="0.25">
      <c r="A265" s="777" t="s">
        <v>1297</v>
      </c>
      <c r="B265" s="430" t="s">
        <v>1150</v>
      </c>
      <c r="C265" s="711" t="s">
        <v>92</v>
      </c>
      <c r="D265" s="712" t="s">
        <v>1283</v>
      </c>
      <c r="E265" s="463">
        <v>70111</v>
      </c>
      <c r="F265" s="713" t="s">
        <v>1048</v>
      </c>
      <c r="G265" s="462">
        <v>4390000</v>
      </c>
      <c r="H265" s="462">
        <v>4390000</v>
      </c>
    </row>
    <row r="266" spans="1:9" ht="21" customHeight="1" x14ac:dyDescent="0.25">
      <c r="A266" s="777" t="s">
        <v>1298</v>
      </c>
      <c r="B266" s="430" t="s">
        <v>1159</v>
      </c>
      <c r="C266" s="711" t="s">
        <v>92</v>
      </c>
      <c r="D266" s="712" t="s">
        <v>1283</v>
      </c>
      <c r="E266" s="463">
        <v>70111</v>
      </c>
      <c r="F266" s="713" t="s">
        <v>1048</v>
      </c>
      <c r="G266" s="462">
        <v>3200000</v>
      </c>
      <c r="H266" s="462">
        <v>3200000</v>
      </c>
    </row>
    <row r="267" spans="1:9" ht="21" customHeight="1" x14ac:dyDescent="0.25">
      <c r="A267" s="777" t="s">
        <v>1299</v>
      </c>
      <c r="B267" s="430" t="s">
        <v>1160</v>
      </c>
      <c r="C267" s="711" t="s">
        <v>92</v>
      </c>
      <c r="D267" s="712" t="s">
        <v>1283</v>
      </c>
      <c r="E267" s="463">
        <v>70111</v>
      </c>
      <c r="F267" s="713" t="s">
        <v>1048</v>
      </c>
      <c r="G267" s="462">
        <v>2754000</v>
      </c>
      <c r="H267" s="462">
        <v>2754000</v>
      </c>
    </row>
    <row r="268" spans="1:9" ht="21" customHeight="1" x14ac:dyDescent="0.25">
      <c r="A268" s="777" t="s">
        <v>1300</v>
      </c>
      <c r="B268" s="430" t="s">
        <v>1301</v>
      </c>
      <c r="C268" s="711" t="s">
        <v>92</v>
      </c>
      <c r="D268" s="712" t="s">
        <v>1283</v>
      </c>
      <c r="E268" s="463">
        <v>70111</v>
      </c>
      <c r="F268" s="713" t="s">
        <v>1048</v>
      </c>
      <c r="G268" s="462">
        <v>360000</v>
      </c>
      <c r="H268" s="462">
        <v>360000</v>
      </c>
    </row>
    <row r="269" spans="1:9" ht="21" customHeight="1" x14ac:dyDescent="0.25">
      <c r="A269" s="777" t="s">
        <v>1302</v>
      </c>
      <c r="B269" s="430" t="s">
        <v>1224</v>
      </c>
      <c r="C269" s="711" t="s">
        <v>92</v>
      </c>
      <c r="D269" s="712" t="s">
        <v>1283</v>
      </c>
      <c r="E269" s="463">
        <v>70111</v>
      </c>
      <c r="F269" s="713" t="s">
        <v>1048</v>
      </c>
      <c r="G269" s="462">
        <v>345567</v>
      </c>
      <c r="H269" s="462">
        <v>345567</v>
      </c>
    </row>
    <row r="270" spans="1:9" ht="21" customHeight="1" x14ac:dyDescent="0.25">
      <c r="A270" s="777" t="s">
        <v>1303</v>
      </c>
      <c r="B270" s="430" t="s">
        <v>1214</v>
      </c>
      <c r="C270" s="711" t="s">
        <v>92</v>
      </c>
      <c r="D270" s="712" t="s">
        <v>1283</v>
      </c>
      <c r="E270" s="463">
        <v>70111</v>
      </c>
      <c r="F270" s="713" t="s">
        <v>1048</v>
      </c>
      <c r="G270" s="462">
        <v>50000000</v>
      </c>
      <c r="H270" s="462">
        <v>50000000</v>
      </c>
    </row>
    <row r="271" spans="1:9" ht="21" customHeight="1" x14ac:dyDescent="0.25">
      <c r="A271" s="463"/>
      <c r="B271" s="974" t="s">
        <v>1304</v>
      </c>
      <c r="C271" s="974"/>
      <c r="D271" s="974"/>
      <c r="E271" s="974"/>
      <c r="F271" s="974"/>
      <c r="G271" s="452">
        <f>SUM(G252:G270)</f>
        <v>74000000</v>
      </c>
      <c r="H271" s="452">
        <f>SUM(H252:H270)</f>
        <v>74000000</v>
      </c>
    </row>
    <row r="272" spans="1:9" ht="63.75" customHeight="1" x14ac:dyDescent="0.25">
      <c r="A272" s="756"/>
      <c r="B272" s="764">
        <v>57</v>
      </c>
      <c r="C272" s="778"/>
      <c r="D272" s="778"/>
      <c r="E272" s="778"/>
      <c r="F272" s="778"/>
      <c r="G272" s="778"/>
      <c r="H272" s="778"/>
      <c r="I272" s="450"/>
    </row>
    <row r="273" spans="1:8" ht="30.75" customHeight="1" x14ac:dyDescent="0.25">
      <c r="A273" s="463"/>
      <c r="B273" s="752" t="s">
        <v>923</v>
      </c>
      <c r="C273" s="712"/>
      <c r="D273" s="712"/>
      <c r="E273" s="753"/>
      <c r="F273" s="753"/>
      <c r="G273" s="753"/>
      <c r="H273" s="463"/>
    </row>
    <row r="274" spans="1:8" ht="21" customHeight="1" x14ac:dyDescent="0.25">
      <c r="A274" s="777" t="s">
        <v>1305</v>
      </c>
      <c r="B274" s="457" t="s">
        <v>1306</v>
      </c>
      <c r="C274" s="711" t="s">
        <v>92</v>
      </c>
      <c r="D274" s="712" t="s">
        <v>598</v>
      </c>
      <c r="E274" s="463">
        <v>70111</v>
      </c>
      <c r="F274" s="711" t="s">
        <v>1056</v>
      </c>
      <c r="G274" s="462">
        <v>38100000</v>
      </c>
      <c r="H274" s="462">
        <v>46664196</v>
      </c>
    </row>
    <row r="275" spans="1:8" ht="21" customHeight="1" x14ac:dyDescent="0.25">
      <c r="A275" s="777" t="s">
        <v>1307</v>
      </c>
      <c r="B275" s="457" t="s">
        <v>1308</v>
      </c>
      <c r="C275" s="711" t="s">
        <v>92</v>
      </c>
      <c r="D275" s="712" t="s">
        <v>598</v>
      </c>
      <c r="E275" s="463">
        <v>70111</v>
      </c>
      <c r="F275" s="713" t="s">
        <v>1048</v>
      </c>
      <c r="G275" s="462">
        <v>15000000</v>
      </c>
      <c r="H275" s="462">
        <v>15000000</v>
      </c>
    </row>
    <row r="276" spans="1:8" ht="21" customHeight="1" x14ac:dyDescent="0.25">
      <c r="A276" s="463">
        <v>12500190003</v>
      </c>
      <c r="B276" s="457" t="s">
        <v>1309</v>
      </c>
      <c r="C276" s="711" t="s">
        <v>92</v>
      </c>
      <c r="D276" s="712" t="s">
        <v>598</v>
      </c>
      <c r="E276" s="463">
        <v>70111</v>
      </c>
      <c r="F276" s="713" t="s">
        <v>1048</v>
      </c>
      <c r="G276" s="462">
        <v>6000000</v>
      </c>
      <c r="H276" s="462">
        <v>6000000</v>
      </c>
    </row>
    <row r="277" spans="1:8" ht="21" customHeight="1" x14ac:dyDescent="0.25">
      <c r="A277" s="463">
        <v>12500190004</v>
      </c>
      <c r="B277" s="457" t="s">
        <v>1310</v>
      </c>
      <c r="C277" s="711" t="s">
        <v>92</v>
      </c>
      <c r="D277" s="712" t="s">
        <v>598</v>
      </c>
      <c r="E277" s="463">
        <v>70111</v>
      </c>
      <c r="F277" s="711" t="s">
        <v>1059</v>
      </c>
      <c r="G277" s="462">
        <v>6000000</v>
      </c>
      <c r="H277" s="462">
        <v>6000000</v>
      </c>
    </row>
    <row r="278" spans="1:8" ht="21" customHeight="1" x14ac:dyDescent="0.25">
      <c r="A278" s="463">
        <v>12500190005</v>
      </c>
      <c r="B278" s="457" t="s">
        <v>1311</v>
      </c>
      <c r="C278" s="711" t="s">
        <v>92</v>
      </c>
      <c r="D278" s="712" t="s">
        <v>598</v>
      </c>
      <c r="E278" s="463">
        <v>70111</v>
      </c>
      <c r="F278" s="713" t="s">
        <v>1048</v>
      </c>
      <c r="G278" s="462">
        <v>6000000</v>
      </c>
      <c r="H278" s="462">
        <v>6000000</v>
      </c>
    </row>
    <row r="279" spans="1:8" ht="21" customHeight="1" x14ac:dyDescent="0.25">
      <c r="A279" s="463">
        <v>12500190006</v>
      </c>
      <c r="B279" s="457" t="s">
        <v>1312</v>
      </c>
      <c r="C279" s="711" t="s">
        <v>92</v>
      </c>
      <c r="D279" s="712" t="s">
        <v>598</v>
      </c>
      <c r="E279" s="463">
        <v>70111</v>
      </c>
      <c r="F279" s="713" t="s">
        <v>1048</v>
      </c>
      <c r="G279" s="462">
        <v>9000000</v>
      </c>
      <c r="H279" s="462">
        <v>9000000</v>
      </c>
    </row>
    <row r="280" spans="1:8" ht="21" customHeight="1" x14ac:dyDescent="0.25">
      <c r="A280" s="463">
        <v>12500190007</v>
      </c>
      <c r="B280" s="457" t="s">
        <v>1313</v>
      </c>
      <c r="C280" s="711" t="s">
        <v>92</v>
      </c>
      <c r="D280" s="712" t="s">
        <v>598</v>
      </c>
      <c r="E280" s="463">
        <v>70111</v>
      </c>
      <c r="F280" s="711" t="s">
        <v>1056</v>
      </c>
      <c r="G280" s="462">
        <v>600000</v>
      </c>
      <c r="H280" s="462">
        <v>600000</v>
      </c>
    </row>
    <row r="281" spans="1:8" ht="21" customHeight="1" x14ac:dyDescent="0.25">
      <c r="A281" s="463">
        <v>12500190008</v>
      </c>
      <c r="B281" s="457" t="s">
        <v>1314</v>
      </c>
      <c r="C281" s="711" t="s">
        <v>92</v>
      </c>
      <c r="D281" s="712" t="s">
        <v>598</v>
      </c>
      <c r="E281" s="463">
        <v>70111</v>
      </c>
      <c r="F281" s="711" t="s">
        <v>1056</v>
      </c>
      <c r="G281" s="462">
        <v>7200000</v>
      </c>
      <c r="H281" s="462">
        <v>7200000</v>
      </c>
    </row>
    <row r="282" spans="1:8" ht="21" customHeight="1" x14ac:dyDescent="0.25">
      <c r="A282" s="463">
        <v>12500190009</v>
      </c>
      <c r="B282" s="457" t="s">
        <v>1315</v>
      </c>
      <c r="C282" s="711" t="s">
        <v>92</v>
      </c>
      <c r="D282" s="712" t="s">
        <v>598</v>
      </c>
      <c r="E282" s="463">
        <v>70111</v>
      </c>
      <c r="F282" s="713" t="s">
        <v>1048</v>
      </c>
      <c r="G282" s="462">
        <v>1200000</v>
      </c>
      <c r="H282" s="462">
        <v>1200000</v>
      </c>
    </row>
    <row r="283" spans="1:8" ht="21" customHeight="1" x14ac:dyDescent="0.25">
      <c r="A283" s="463">
        <v>12500190010</v>
      </c>
      <c r="B283" s="457" t="s">
        <v>1316</v>
      </c>
      <c r="C283" s="711" t="s">
        <v>92</v>
      </c>
      <c r="D283" s="712" t="s">
        <v>598</v>
      </c>
      <c r="E283" s="463">
        <v>70111</v>
      </c>
      <c r="F283" s="437"/>
      <c r="G283" s="462">
        <v>150000000</v>
      </c>
      <c r="H283" s="462">
        <v>150000000</v>
      </c>
    </row>
    <row r="284" spans="1:8" ht="21" customHeight="1" x14ac:dyDescent="0.25">
      <c r="A284" s="463">
        <v>12500190011</v>
      </c>
      <c r="B284" s="457" t="s">
        <v>1317</v>
      </c>
      <c r="C284" s="711" t="s">
        <v>92</v>
      </c>
      <c r="D284" s="712" t="s">
        <v>598</v>
      </c>
      <c r="E284" s="463">
        <v>70111</v>
      </c>
      <c r="F284" s="437"/>
      <c r="G284" s="462">
        <v>200000000</v>
      </c>
      <c r="H284" s="462">
        <v>200000000</v>
      </c>
    </row>
    <row r="285" spans="1:8" ht="21" customHeight="1" x14ac:dyDescent="0.25">
      <c r="A285" s="463">
        <v>12500190012</v>
      </c>
      <c r="B285" s="457" t="s">
        <v>1318</v>
      </c>
      <c r="C285" s="711" t="s">
        <v>92</v>
      </c>
      <c r="D285" s="712" t="s">
        <v>598</v>
      </c>
      <c r="E285" s="463">
        <v>70111</v>
      </c>
      <c r="F285" s="711" t="s">
        <v>1059</v>
      </c>
      <c r="G285" s="462">
        <v>50000000</v>
      </c>
      <c r="H285" s="462">
        <v>50000000</v>
      </c>
    </row>
    <row r="286" spans="1:8" ht="21" customHeight="1" x14ac:dyDescent="0.25">
      <c r="A286" s="463">
        <v>12500190013</v>
      </c>
      <c r="B286" s="457" t="s">
        <v>1319</v>
      </c>
      <c r="C286" s="711" t="s">
        <v>92</v>
      </c>
      <c r="D286" s="712" t="s">
        <v>598</v>
      </c>
      <c r="E286" s="463">
        <v>70111</v>
      </c>
      <c r="F286" s="711" t="s">
        <v>1059</v>
      </c>
      <c r="G286" s="462">
        <v>10000000</v>
      </c>
      <c r="H286" s="462">
        <v>10000000</v>
      </c>
    </row>
    <row r="287" spans="1:8" ht="21" customHeight="1" x14ac:dyDescent="0.25">
      <c r="A287" s="463">
        <v>12500190014</v>
      </c>
      <c r="B287" s="457" t="s">
        <v>1320</v>
      </c>
      <c r="C287" s="711" t="s">
        <v>92</v>
      </c>
      <c r="D287" s="712" t="s">
        <v>598</v>
      </c>
      <c r="E287" s="463">
        <v>70111</v>
      </c>
      <c r="F287" s="711" t="s">
        <v>1059</v>
      </c>
      <c r="G287" s="462">
        <v>25000000</v>
      </c>
      <c r="H287" s="462">
        <v>25000000</v>
      </c>
    </row>
    <row r="288" spans="1:8" ht="21" customHeight="1" x14ac:dyDescent="0.25">
      <c r="A288" s="463">
        <v>12500190015</v>
      </c>
      <c r="B288" s="457" t="s">
        <v>1321</v>
      </c>
      <c r="C288" s="711" t="s">
        <v>92</v>
      </c>
      <c r="D288" s="712" t="s">
        <v>598</v>
      </c>
      <c r="E288" s="463">
        <v>70111</v>
      </c>
      <c r="F288" s="437"/>
      <c r="G288" s="462">
        <v>30000000</v>
      </c>
      <c r="H288" s="462">
        <v>30000000</v>
      </c>
    </row>
    <row r="289" spans="1:10" ht="21" customHeight="1" x14ac:dyDescent="0.25">
      <c r="A289" s="463">
        <v>12500190016</v>
      </c>
      <c r="B289" s="457" t="s">
        <v>1322</v>
      </c>
      <c r="C289" s="711"/>
      <c r="D289" s="712"/>
      <c r="E289" s="463"/>
      <c r="F289" s="437"/>
      <c r="G289" s="462"/>
      <c r="H289" s="462">
        <v>10000000</v>
      </c>
    </row>
    <row r="290" spans="1:10" ht="21" customHeight="1" x14ac:dyDescent="0.25">
      <c r="A290" s="463"/>
      <c r="B290" s="875" t="s">
        <v>117</v>
      </c>
      <c r="C290" s="731"/>
      <c r="D290" s="705"/>
      <c r="E290" s="870"/>
      <c r="F290" s="437"/>
      <c r="G290" s="452">
        <f>SUM(G274:G289)</f>
        <v>554100000</v>
      </c>
      <c r="H290" s="452">
        <f>SUM(H274:H289)</f>
        <v>572664196</v>
      </c>
    </row>
    <row r="291" spans="1:10" s="433" customFormat="1" ht="21" customHeight="1" x14ac:dyDescent="0.25">
      <c r="A291" s="870"/>
      <c r="B291" s="875" t="s">
        <v>1323</v>
      </c>
      <c r="C291" s="731"/>
      <c r="D291" s="705"/>
      <c r="E291" s="870"/>
      <c r="F291" s="437"/>
      <c r="G291" s="452"/>
      <c r="H291" s="452"/>
      <c r="I291" s="432"/>
      <c r="J291" s="432"/>
    </row>
    <row r="292" spans="1:10" s="433" customFormat="1" ht="21" customHeight="1" x14ac:dyDescent="0.25">
      <c r="A292" s="463">
        <v>12500190017</v>
      </c>
      <c r="B292" s="430" t="s">
        <v>1324</v>
      </c>
      <c r="C292" s="711" t="s">
        <v>92</v>
      </c>
      <c r="D292" s="712" t="s">
        <v>598</v>
      </c>
      <c r="E292" s="463">
        <v>70111</v>
      </c>
      <c r="F292" s="711" t="s">
        <v>1059</v>
      </c>
      <c r="G292" s="462">
        <v>500000</v>
      </c>
      <c r="H292" s="462">
        <v>500000</v>
      </c>
      <c r="I292" s="432"/>
      <c r="J292" s="432"/>
    </row>
    <row r="293" spans="1:10" ht="21" customHeight="1" x14ac:dyDescent="0.25">
      <c r="A293" s="463">
        <v>12500190018</v>
      </c>
      <c r="B293" s="430" t="s">
        <v>1131</v>
      </c>
      <c r="C293" s="711" t="s">
        <v>92</v>
      </c>
      <c r="D293" s="712" t="s">
        <v>598</v>
      </c>
      <c r="E293" s="463">
        <v>70111</v>
      </c>
      <c r="F293" s="713" t="s">
        <v>1048</v>
      </c>
      <c r="G293" s="462">
        <v>500000</v>
      </c>
      <c r="H293" s="462">
        <v>500000</v>
      </c>
    </row>
    <row r="294" spans="1:10" ht="21" customHeight="1" x14ac:dyDescent="0.25">
      <c r="A294" s="463">
        <v>12500190019</v>
      </c>
      <c r="B294" s="430" t="s">
        <v>1133</v>
      </c>
      <c r="C294" s="711" t="s">
        <v>92</v>
      </c>
      <c r="D294" s="712" t="s">
        <v>598</v>
      </c>
      <c r="E294" s="463">
        <v>70111</v>
      </c>
      <c r="F294" s="713" t="s">
        <v>1048</v>
      </c>
      <c r="G294" s="462">
        <v>200000</v>
      </c>
      <c r="H294" s="462">
        <v>200000</v>
      </c>
    </row>
    <row r="295" spans="1:10" ht="21" customHeight="1" x14ac:dyDescent="0.25">
      <c r="A295" s="463">
        <v>12500190020</v>
      </c>
      <c r="B295" s="430" t="s">
        <v>1132</v>
      </c>
      <c r="C295" s="711" t="s">
        <v>92</v>
      </c>
      <c r="D295" s="712" t="s">
        <v>598</v>
      </c>
      <c r="E295" s="463">
        <v>70111</v>
      </c>
      <c r="F295" s="713" t="s">
        <v>1048</v>
      </c>
      <c r="G295" s="462">
        <v>240000</v>
      </c>
      <c r="H295" s="462">
        <v>240000</v>
      </c>
    </row>
    <row r="296" spans="1:10" ht="65.25" customHeight="1" x14ac:dyDescent="0.25">
      <c r="A296" s="756"/>
      <c r="B296" s="449">
        <v>58</v>
      </c>
      <c r="C296" s="722"/>
      <c r="D296" s="720"/>
      <c r="E296" s="756"/>
      <c r="F296" s="758"/>
      <c r="G296" s="759"/>
      <c r="H296" s="759"/>
    </row>
    <row r="297" spans="1:10" ht="21" customHeight="1" x14ac:dyDescent="0.25">
      <c r="A297" s="463"/>
      <c r="B297" s="871" t="s">
        <v>1325</v>
      </c>
      <c r="C297" s="711"/>
      <c r="D297" s="712"/>
      <c r="E297" s="463"/>
      <c r="F297" s="713"/>
      <c r="G297" s="462"/>
      <c r="H297" s="462"/>
    </row>
    <row r="298" spans="1:10" ht="21" customHeight="1" x14ac:dyDescent="0.25">
      <c r="A298" s="463">
        <v>12500190021</v>
      </c>
      <c r="B298" s="430" t="s">
        <v>1135</v>
      </c>
      <c r="C298" s="711" t="s">
        <v>92</v>
      </c>
      <c r="D298" s="712" t="s">
        <v>598</v>
      </c>
      <c r="E298" s="463">
        <v>70111</v>
      </c>
      <c r="F298" s="713" t="s">
        <v>1048</v>
      </c>
      <c r="G298" s="462">
        <v>3000000</v>
      </c>
      <c r="H298" s="462">
        <v>3000000</v>
      </c>
    </row>
    <row r="299" spans="1:10" ht="21" customHeight="1" x14ac:dyDescent="0.25">
      <c r="A299" s="463">
        <v>12500190022</v>
      </c>
      <c r="B299" s="430" t="s">
        <v>1137</v>
      </c>
      <c r="C299" s="711" t="s">
        <v>92</v>
      </c>
      <c r="D299" s="712" t="s">
        <v>598</v>
      </c>
      <c r="E299" s="463">
        <v>70111</v>
      </c>
      <c r="F299" s="713" t="s">
        <v>1048</v>
      </c>
      <c r="G299" s="462">
        <v>600000</v>
      </c>
      <c r="H299" s="462">
        <v>600000</v>
      </c>
    </row>
    <row r="300" spans="1:10" ht="21" customHeight="1" x14ac:dyDescent="0.25">
      <c r="A300" s="463">
        <v>12500190023</v>
      </c>
      <c r="B300" s="430" t="s">
        <v>1138</v>
      </c>
      <c r="C300" s="711" t="s">
        <v>92</v>
      </c>
      <c r="D300" s="712" t="s">
        <v>598</v>
      </c>
      <c r="E300" s="463">
        <v>70111</v>
      </c>
      <c r="F300" s="713" t="s">
        <v>1048</v>
      </c>
      <c r="G300" s="462">
        <v>700000</v>
      </c>
      <c r="H300" s="462">
        <v>700000</v>
      </c>
    </row>
    <row r="301" spans="1:10" ht="21" customHeight="1" x14ac:dyDescent="0.25">
      <c r="A301" s="463">
        <v>12500190024</v>
      </c>
      <c r="B301" s="430" t="s">
        <v>1140</v>
      </c>
      <c r="C301" s="711" t="s">
        <v>92</v>
      </c>
      <c r="D301" s="712" t="s">
        <v>598</v>
      </c>
      <c r="E301" s="463">
        <v>70111</v>
      </c>
      <c r="F301" s="713" t="s">
        <v>1048</v>
      </c>
      <c r="G301" s="462">
        <v>560000</v>
      </c>
      <c r="H301" s="462">
        <v>560000</v>
      </c>
    </row>
    <row r="302" spans="1:10" ht="21" customHeight="1" x14ac:dyDescent="0.25">
      <c r="A302" s="463">
        <v>12500190025</v>
      </c>
      <c r="B302" s="430" t="s">
        <v>1144</v>
      </c>
      <c r="C302" s="711" t="s">
        <v>92</v>
      </c>
      <c r="D302" s="712" t="s">
        <v>598</v>
      </c>
      <c r="E302" s="463">
        <v>70111</v>
      </c>
      <c r="F302" s="713" t="s">
        <v>1048</v>
      </c>
      <c r="G302" s="462">
        <v>3000000</v>
      </c>
      <c r="H302" s="462">
        <v>3000000</v>
      </c>
    </row>
    <row r="303" spans="1:10" ht="21" customHeight="1" x14ac:dyDescent="0.25">
      <c r="A303" s="463">
        <v>12500190026</v>
      </c>
      <c r="B303" s="430" t="s">
        <v>1159</v>
      </c>
      <c r="C303" s="711" t="s">
        <v>92</v>
      </c>
      <c r="D303" s="712" t="s">
        <v>598</v>
      </c>
      <c r="E303" s="463">
        <v>70111</v>
      </c>
      <c r="F303" s="713" t="s">
        <v>1048</v>
      </c>
      <c r="G303" s="462">
        <v>3000000</v>
      </c>
      <c r="H303" s="462">
        <v>3000000</v>
      </c>
    </row>
    <row r="304" spans="1:10" ht="21" customHeight="1" x14ac:dyDescent="0.25">
      <c r="A304" s="463">
        <v>12500190027</v>
      </c>
      <c r="B304" s="430" t="s">
        <v>1160</v>
      </c>
      <c r="C304" s="711" t="s">
        <v>92</v>
      </c>
      <c r="D304" s="712" t="s">
        <v>598</v>
      </c>
      <c r="E304" s="463">
        <v>70111</v>
      </c>
      <c r="F304" s="713" t="s">
        <v>1048</v>
      </c>
      <c r="G304" s="462">
        <v>4000000</v>
      </c>
      <c r="H304" s="462">
        <v>4000000</v>
      </c>
    </row>
    <row r="305" spans="1:10" ht="21" customHeight="1" x14ac:dyDescent="0.25">
      <c r="A305" s="463">
        <v>12500190028</v>
      </c>
      <c r="B305" s="430" t="s">
        <v>1134</v>
      </c>
      <c r="C305" s="711" t="s">
        <v>92</v>
      </c>
      <c r="D305" s="712" t="s">
        <v>598</v>
      </c>
      <c r="E305" s="463">
        <v>70111</v>
      </c>
      <c r="F305" s="713" t="s">
        <v>1048</v>
      </c>
      <c r="G305" s="462">
        <v>120000</v>
      </c>
      <c r="H305" s="462">
        <v>120000</v>
      </c>
    </row>
    <row r="306" spans="1:10" ht="21" customHeight="1" x14ac:dyDescent="0.25">
      <c r="A306" s="463">
        <v>12500190029</v>
      </c>
      <c r="B306" s="430" t="s">
        <v>1149</v>
      </c>
      <c r="C306" s="711" t="s">
        <v>92</v>
      </c>
      <c r="D306" s="712" t="s">
        <v>598</v>
      </c>
      <c r="E306" s="463">
        <v>70111</v>
      </c>
      <c r="F306" s="713" t="s">
        <v>1048</v>
      </c>
      <c r="G306" s="462">
        <v>4000000</v>
      </c>
      <c r="H306" s="462">
        <v>4000000</v>
      </c>
    </row>
    <row r="307" spans="1:10" ht="21" customHeight="1" x14ac:dyDescent="0.25">
      <c r="A307" s="463">
        <v>12500190030</v>
      </c>
      <c r="B307" s="430" t="s">
        <v>1224</v>
      </c>
      <c r="C307" s="711" t="s">
        <v>92</v>
      </c>
      <c r="D307" s="712" t="s">
        <v>598</v>
      </c>
      <c r="E307" s="463">
        <v>70111</v>
      </c>
      <c r="F307" s="713" t="s">
        <v>1048</v>
      </c>
      <c r="G307" s="462">
        <v>100000</v>
      </c>
      <c r="H307" s="462">
        <v>100000</v>
      </c>
    </row>
    <row r="308" spans="1:10" ht="21" customHeight="1" x14ac:dyDescent="0.25">
      <c r="A308" s="463"/>
      <c r="B308" s="870" t="s">
        <v>1169</v>
      </c>
      <c r="C308" s="712"/>
      <c r="D308" s="712"/>
      <c r="E308" s="463"/>
      <c r="F308" s="463"/>
      <c r="G308" s="473">
        <f>SUM(G292:G307)</f>
        <v>20520000</v>
      </c>
      <c r="H308" s="473">
        <f>SUM(H292:H307)</f>
        <v>20520000</v>
      </c>
    </row>
    <row r="309" spans="1:10" ht="21" customHeight="1" x14ac:dyDescent="0.25">
      <c r="A309" s="463"/>
      <c r="B309" s="978" t="s">
        <v>1326</v>
      </c>
      <c r="C309" s="978"/>
      <c r="D309" s="978"/>
      <c r="E309" s="978"/>
      <c r="F309" s="978"/>
      <c r="G309" s="473"/>
      <c r="H309" s="473">
        <f>SUM(H290,H308)</f>
        <v>593184196</v>
      </c>
      <c r="I309" s="450"/>
    </row>
    <row r="310" spans="1:10" ht="34.5" customHeight="1" x14ac:dyDescent="0.25">
      <c r="A310" s="463"/>
      <c r="B310" s="752" t="s">
        <v>1327</v>
      </c>
      <c r="C310" s="712"/>
      <c r="D310" s="712"/>
      <c r="E310" s="753"/>
      <c r="F310" s="753"/>
      <c r="G310" s="753"/>
      <c r="H310" s="754"/>
    </row>
    <row r="311" spans="1:10" ht="21" customHeight="1" x14ac:dyDescent="0.25">
      <c r="A311" s="463">
        <v>11120019001</v>
      </c>
      <c r="B311" s="447" t="s">
        <v>1328</v>
      </c>
      <c r="C311" s="711" t="s">
        <v>92</v>
      </c>
      <c r="D311" s="712" t="s">
        <v>925</v>
      </c>
      <c r="E311" s="481">
        <v>70133</v>
      </c>
      <c r="F311" s="713" t="s">
        <v>1048</v>
      </c>
      <c r="G311" s="462"/>
      <c r="H311" s="463"/>
    </row>
    <row r="312" spans="1:10" ht="21" customHeight="1" x14ac:dyDescent="0.25">
      <c r="A312" s="463">
        <v>11120019002</v>
      </c>
      <c r="B312" s="430" t="s">
        <v>1329</v>
      </c>
      <c r="C312" s="711" t="s">
        <v>92</v>
      </c>
      <c r="D312" s="712" t="s">
        <v>925</v>
      </c>
      <c r="E312" s="481">
        <v>70133</v>
      </c>
      <c r="F312" s="711" t="s">
        <v>1046</v>
      </c>
      <c r="G312" s="462">
        <v>4000000</v>
      </c>
      <c r="H312" s="462">
        <v>4000000</v>
      </c>
    </row>
    <row r="313" spans="1:10" ht="21" customHeight="1" x14ac:dyDescent="0.25">
      <c r="A313" s="463">
        <v>11120019003</v>
      </c>
      <c r="B313" s="447" t="s">
        <v>1330</v>
      </c>
      <c r="C313" s="711" t="s">
        <v>92</v>
      </c>
      <c r="D313" s="712" t="s">
        <v>925</v>
      </c>
      <c r="E313" s="481">
        <v>70133</v>
      </c>
      <c r="F313" s="713" t="s">
        <v>1048</v>
      </c>
      <c r="G313" s="462">
        <v>7500000</v>
      </c>
      <c r="H313" s="462">
        <v>7500000</v>
      </c>
    </row>
    <row r="314" spans="1:10" ht="21" customHeight="1" x14ac:dyDescent="0.25">
      <c r="A314" s="463">
        <v>11120019004</v>
      </c>
      <c r="B314" s="430" t="s">
        <v>1331</v>
      </c>
      <c r="C314" s="711" t="s">
        <v>92</v>
      </c>
      <c r="D314" s="712" t="s">
        <v>925</v>
      </c>
      <c r="E314" s="481">
        <v>70133</v>
      </c>
      <c r="F314" s="713" t="s">
        <v>1048</v>
      </c>
      <c r="G314" s="462">
        <v>10000000</v>
      </c>
      <c r="H314" s="462">
        <v>10000000</v>
      </c>
    </row>
    <row r="315" spans="1:10" ht="21" customHeight="1" x14ac:dyDescent="0.25">
      <c r="A315" s="463"/>
      <c r="B315" s="760" t="s">
        <v>117</v>
      </c>
      <c r="C315" s="779"/>
      <c r="D315" s="705"/>
      <c r="E315" s="870"/>
      <c r="F315" s="870"/>
      <c r="G315" s="498">
        <f>SUM(G312:G314)</f>
        <v>21500000</v>
      </c>
      <c r="H315" s="498">
        <f>SUM(H312:H314)</f>
        <v>21500000</v>
      </c>
    </row>
    <row r="316" spans="1:10" s="433" customFormat="1" ht="21" customHeight="1" x14ac:dyDescent="0.25">
      <c r="A316" s="463">
        <v>11120019005</v>
      </c>
      <c r="B316" s="436" t="s">
        <v>1332</v>
      </c>
      <c r="C316" s="745" t="s">
        <v>92</v>
      </c>
      <c r="D316" s="746" t="s">
        <v>925</v>
      </c>
      <c r="E316" s="482">
        <v>70133</v>
      </c>
      <c r="F316" s="747" t="s">
        <v>1048</v>
      </c>
      <c r="G316" s="462">
        <v>22200000</v>
      </c>
      <c r="H316" s="462">
        <v>22200000</v>
      </c>
      <c r="I316" s="432"/>
      <c r="J316" s="432"/>
    </row>
    <row r="317" spans="1:10" s="455" customFormat="1" ht="21" customHeight="1" x14ac:dyDescent="0.25">
      <c r="A317" s="463">
        <v>11120019006</v>
      </c>
      <c r="B317" s="780" t="s">
        <v>1333</v>
      </c>
      <c r="C317" s="745" t="s">
        <v>92</v>
      </c>
      <c r="D317" s="746" t="s">
        <v>925</v>
      </c>
      <c r="E317" s="763">
        <v>70133</v>
      </c>
      <c r="F317" s="745" t="s">
        <v>1251</v>
      </c>
      <c r="G317" s="462">
        <v>20000000</v>
      </c>
      <c r="H317" s="462">
        <v>20000000</v>
      </c>
      <c r="I317" s="454"/>
      <c r="J317" s="454"/>
    </row>
    <row r="318" spans="1:10" s="455" customFormat="1" ht="21" customHeight="1" x14ac:dyDescent="0.25">
      <c r="A318" s="463">
        <v>11120019007</v>
      </c>
      <c r="B318" s="436" t="s">
        <v>1334</v>
      </c>
      <c r="C318" s="745" t="s">
        <v>92</v>
      </c>
      <c r="D318" s="746" t="s">
        <v>925</v>
      </c>
      <c r="E318" s="763">
        <v>70133</v>
      </c>
      <c r="F318" s="745" t="s">
        <v>1251</v>
      </c>
      <c r="G318" s="462">
        <v>20000000</v>
      </c>
      <c r="H318" s="462">
        <v>20000000</v>
      </c>
      <c r="I318" s="454"/>
      <c r="J318" s="454"/>
    </row>
    <row r="319" spans="1:10" s="455" customFormat="1" ht="21" customHeight="1" x14ac:dyDescent="0.25">
      <c r="A319" s="763"/>
      <c r="B319" s="760" t="s">
        <v>1335</v>
      </c>
      <c r="C319" s="746"/>
      <c r="D319" s="746"/>
      <c r="E319" s="763"/>
      <c r="F319" s="763"/>
      <c r="G319" s="498">
        <f>SUM(G316:G318)</f>
        <v>62200000</v>
      </c>
      <c r="H319" s="498">
        <f>SUM(H316:H318)</f>
        <v>62200000</v>
      </c>
      <c r="I319" s="454"/>
      <c r="J319" s="454"/>
    </row>
    <row r="320" spans="1:10" s="455" customFormat="1" ht="21" customHeight="1" x14ac:dyDescent="0.25">
      <c r="A320" s="763"/>
      <c r="B320" s="976" t="s">
        <v>1336</v>
      </c>
      <c r="C320" s="976"/>
      <c r="D320" s="976"/>
      <c r="E320" s="976"/>
      <c r="F320" s="976"/>
      <c r="G320" s="498">
        <f>G315+G319</f>
        <v>83700000</v>
      </c>
      <c r="H320" s="498">
        <f>H315+H319</f>
        <v>83700000</v>
      </c>
      <c r="I320" s="458"/>
      <c r="J320" s="454"/>
    </row>
    <row r="321" spans="1:10" s="455" customFormat="1" ht="61.5" customHeight="1" x14ac:dyDescent="0.25">
      <c r="A321" s="781"/>
      <c r="B321" s="764">
        <v>59</v>
      </c>
      <c r="C321" s="765"/>
      <c r="D321" s="765"/>
      <c r="E321" s="765"/>
      <c r="F321" s="765"/>
      <c r="G321" s="782"/>
      <c r="H321" s="782"/>
      <c r="I321" s="458"/>
      <c r="J321" s="454"/>
    </row>
    <row r="322" spans="1:10" ht="22.5" customHeight="1" x14ac:dyDescent="0.25">
      <c r="A322" s="463"/>
      <c r="B322" s="752" t="s">
        <v>926</v>
      </c>
      <c r="C322" s="712"/>
      <c r="D322" s="712"/>
      <c r="E322" s="753"/>
      <c r="F322" s="753"/>
      <c r="G322" s="753"/>
      <c r="H322" s="463"/>
    </row>
    <row r="323" spans="1:10" ht="15.95" customHeight="1" x14ac:dyDescent="0.25">
      <c r="A323" s="463">
        <v>11140019001</v>
      </c>
      <c r="B323" s="430" t="s">
        <v>1337</v>
      </c>
      <c r="C323" s="711" t="s">
        <v>92</v>
      </c>
      <c r="D323" s="712" t="s">
        <v>927</v>
      </c>
      <c r="E323" s="783" t="s">
        <v>928</v>
      </c>
      <c r="F323" s="711" t="s">
        <v>1059</v>
      </c>
      <c r="G323" s="462">
        <v>6000000</v>
      </c>
      <c r="H323" s="462">
        <v>6000000</v>
      </c>
    </row>
    <row r="324" spans="1:10" ht="15.95" customHeight="1" x14ac:dyDescent="0.25">
      <c r="A324" s="463">
        <v>11140019002</v>
      </c>
      <c r="B324" s="430" t="s">
        <v>1338</v>
      </c>
      <c r="C324" s="711" t="s">
        <v>92</v>
      </c>
      <c r="D324" s="712" t="s">
        <v>927</v>
      </c>
      <c r="E324" s="783" t="s">
        <v>928</v>
      </c>
      <c r="F324" s="711" t="s">
        <v>1059</v>
      </c>
      <c r="G324" s="462">
        <v>1000000</v>
      </c>
      <c r="H324" s="462">
        <v>1000000</v>
      </c>
    </row>
    <row r="325" spans="1:10" ht="15.95" customHeight="1" x14ac:dyDescent="0.25">
      <c r="A325" s="463">
        <v>11140019003</v>
      </c>
      <c r="B325" s="430" t="s">
        <v>1339</v>
      </c>
      <c r="C325" s="711" t="s">
        <v>92</v>
      </c>
      <c r="D325" s="712" t="s">
        <v>927</v>
      </c>
      <c r="E325" s="783" t="s">
        <v>928</v>
      </c>
      <c r="F325" s="711" t="s">
        <v>1059</v>
      </c>
      <c r="G325" s="462">
        <v>20000000</v>
      </c>
      <c r="H325" s="462">
        <v>20000000</v>
      </c>
    </row>
    <row r="326" spans="1:10" ht="15.95" customHeight="1" x14ac:dyDescent="0.25">
      <c r="A326" s="463">
        <v>11140019004</v>
      </c>
      <c r="B326" s="430" t="s">
        <v>1340</v>
      </c>
      <c r="C326" s="711" t="s">
        <v>92</v>
      </c>
      <c r="D326" s="712" t="s">
        <v>927</v>
      </c>
      <c r="E326" s="783" t="s">
        <v>928</v>
      </c>
      <c r="F326" s="711" t="s">
        <v>1059</v>
      </c>
      <c r="G326" s="462">
        <v>1500000</v>
      </c>
      <c r="H326" s="462">
        <v>1500000</v>
      </c>
    </row>
    <row r="327" spans="1:10" ht="15.95" customHeight="1" x14ac:dyDescent="0.25">
      <c r="A327" s="463">
        <v>11140019005</v>
      </c>
      <c r="B327" s="430" t="s">
        <v>1086</v>
      </c>
      <c r="C327" s="711" t="s">
        <v>92</v>
      </c>
      <c r="D327" s="712" t="s">
        <v>927</v>
      </c>
      <c r="E327" s="783" t="s">
        <v>928</v>
      </c>
      <c r="F327" s="713" t="s">
        <v>1048</v>
      </c>
      <c r="G327" s="462">
        <v>720000</v>
      </c>
      <c r="H327" s="462">
        <v>720000</v>
      </c>
    </row>
    <row r="328" spans="1:10" ht="15.95" customHeight="1" x14ac:dyDescent="0.25">
      <c r="A328" s="463">
        <v>11140019006</v>
      </c>
      <c r="B328" s="430" t="s">
        <v>1132</v>
      </c>
      <c r="C328" s="711" t="s">
        <v>92</v>
      </c>
      <c r="D328" s="712" t="s">
        <v>927</v>
      </c>
      <c r="E328" s="783" t="s">
        <v>928</v>
      </c>
      <c r="F328" s="713" t="s">
        <v>1048</v>
      </c>
      <c r="G328" s="462">
        <v>120000</v>
      </c>
      <c r="H328" s="462">
        <v>120000</v>
      </c>
    </row>
    <row r="329" spans="1:10" ht="15.95" customHeight="1" x14ac:dyDescent="0.25">
      <c r="A329" s="463">
        <v>11140019007</v>
      </c>
      <c r="B329" s="430" t="s">
        <v>1133</v>
      </c>
      <c r="C329" s="711" t="s">
        <v>92</v>
      </c>
      <c r="D329" s="712" t="s">
        <v>927</v>
      </c>
      <c r="E329" s="783" t="s">
        <v>928</v>
      </c>
      <c r="F329" s="713" t="s">
        <v>1048</v>
      </c>
      <c r="G329" s="462">
        <v>84000</v>
      </c>
      <c r="H329" s="462">
        <v>84000</v>
      </c>
    </row>
    <row r="330" spans="1:10" ht="15.95" customHeight="1" x14ac:dyDescent="0.25">
      <c r="A330" s="463">
        <v>11140019008</v>
      </c>
      <c r="B330" s="430" t="s">
        <v>1135</v>
      </c>
      <c r="C330" s="711" t="s">
        <v>92</v>
      </c>
      <c r="D330" s="712" t="s">
        <v>927</v>
      </c>
      <c r="E330" s="783" t="s">
        <v>928</v>
      </c>
      <c r="F330" s="713" t="s">
        <v>1048</v>
      </c>
      <c r="G330" s="462">
        <v>480000</v>
      </c>
      <c r="H330" s="462">
        <v>480000</v>
      </c>
    </row>
    <row r="331" spans="1:10" ht="15.95" customHeight="1" x14ac:dyDescent="0.25">
      <c r="A331" s="463">
        <v>11140019009</v>
      </c>
      <c r="B331" s="430" t="s">
        <v>1282</v>
      </c>
      <c r="C331" s="711" t="s">
        <v>92</v>
      </c>
      <c r="D331" s="712" t="s">
        <v>927</v>
      </c>
      <c r="E331" s="783" t="s">
        <v>928</v>
      </c>
      <c r="F331" s="713" t="s">
        <v>1048</v>
      </c>
      <c r="G331" s="462">
        <v>960000</v>
      </c>
      <c r="H331" s="462">
        <v>960000</v>
      </c>
    </row>
    <row r="332" spans="1:10" ht="15.95" customHeight="1" x14ac:dyDescent="0.25">
      <c r="A332" s="463">
        <v>11140019010</v>
      </c>
      <c r="B332" s="430" t="s">
        <v>1160</v>
      </c>
      <c r="C332" s="711" t="s">
        <v>92</v>
      </c>
      <c r="D332" s="712" t="s">
        <v>927</v>
      </c>
      <c r="E332" s="783" t="s">
        <v>928</v>
      </c>
      <c r="F332" s="713" t="s">
        <v>1048</v>
      </c>
      <c r="G332" s="462">
        <v>960000</v>
      </c>
      <c r="H332" s="462">
        <v>960000</v>
      </c>
    </row>
    <row r="333" spans="1:10" ht="15.95" customHeight="1" x14ac:dyDescent="0.25">
      <c r="A333" s="463">
        <v>11140019011</v>
      </c>
      <c r="B333" s="430" t="s">
        <v>1341</v>
      </c>
      <c r="C333" s="711" t="s">
        <v>92</v>
      </c>
      <c r="D333" s="712" t="s">
        <v>927</v>
      </c>
      <c r="E333" s="783" t="s">
        <v>928</v>
      </c>
      <c r="F333" s="713" t="s">
        <v>1048</v>
      </c>
      <c r="G333" s="462">
        <v>156000</v>
      </c>
      <c r="H333" s="462">
        <v>156000</v>
      </c>
    </row>
    <row r="334" spans="1:10" ht="15.95" customHeight="1" x14ac:dyDescent="0.25">
      <c r="A334" s="463"/>
      <c r="B334" s="871" t="s">
        <v>1335</v>
      </c>
      <c r="C334" s="731"/>
      <c r="D334" s="705"/>
      <c r="E334" s="784"/>
      <c r="F334" s="740"/>
      <c r="G334" s="452">
        <f>SUM(G323:G333)</f>
        <v>31980000</v>
      </c>
      <c r="H334" s="452">
        <f>SUM(H323:H333)</f>
        <v>31980000</v>
      </c>
    </row>
    <row r="335" spans="1:10" s="433" customFormat="1" ht="15.95" customHeight="1" x14ac:dyDescent="0.25">
      <c r="A335" s="463">
        <v>11140019012</v>
      </c>
      <c r="B335" s="430" t="s">
        <v>1342</v>
      </c>
      <c r="C335" s="745" t="s">
        <v>92</v>
      </c>
      <c r="D335" s="746" t="s">
        <v>927</v>
      </c>
      <c r="E335" s="785" t="s">
        <v>928</v>
      </c>
      <c r="F335" s="747" t="s">
        <v>1048</v>
      </c>
      <c r="G335" s="451">
        <v>120000</v>
      </c>
      <c r="H335" s="451">
        <f>300000*12</f>
        <v>3600000</v>
      </c>
      <c r="I335" s="432"/>
      <c r="J335" s="432"/>
    </row>
    <row r="336" spans="1:10" s="455" customFormat="1" ht="15.95" customHeight="1" x14ac:dyDescent="0.25">
      <c r="A336" s="763"/>
      <c r="B336" s="974" t="s">
        <v>1343</v>
      </c>
      <c r="C336" s="974"/>
      <c r="D336" s="974"/>
      <c r="E336" s="974"/>
      <c r="F336" s="974"/>
      <c r="G336" s="452">
        <f>SUM(G334:G335)</f>
        <v>32100000</v>
      </c>
      <c r="H336" s="452">
        <f>SUM(H334:H335)</f>
        <v>35580000</v>
      </c>
      <c r="I336" s="458"/>
      <c r="J336" s="454"/>
    </row>
    <row r="337" spans="1:9" ht="30" customHeight="1" x14ac:dyDescent="0.25">
      <c r="A337" s="463"/>
      <c r="B337" s="752" t="s">
        <v>929</v>
      </c>
      <c r="C337" s="712"/>
      <c r="D337" s="712"/>
      <c r="E337" s="753"/>
      <c r="F337" s="753"/>
      <c r="G337" s="753"/>
      <c r="H337" s="463"/>
    </row>
    <row r="338" spans="1:9" ht="15.95" customHeight="1" x14ac:dyDescent="0.25">
      <c r="A338" s="463">
        <v>11150019001</v>
      </c>
      <c r="B338" s="447" t="s">
        <v>1344</v>
      </c>
      <c r="C338" s="711" t="s">
        <v>92</v>
      </c>
      <c r="D338" s="712" t="s">
        <v>444</v>
      </c>
      <c r="E338" s="783">
        <v>70131</v>
      </c>
      <c r="F338" s="713" t="s">
        <v>1048</v>
      </c>
      <c r="G338" s="462">
        <v>20000000</v>
      </c>
      <c r="H338" s="462">
        <v>20000000</v>
      </c>
    </row>
    <row r="339" spans="1:9" ht="15.95" customHeight="1" x14ac:dyDescent="0.25">
      <c r="A339" s="463">
        <v>11150019002</v>
      </c>
      <c r="B339" s="447" t="s">
        <v>1345</v>
      </c>
      <c r="C339" s="711" t="s">
        <v>92</v>
      </c>
      <c r="D339" s="712" t="s">
        <v>444</v>
      </c>
      <c r="E339" s="783">
        <v>70131</v>
      </c>
      <c r="F339" s="713" t="s">
        <v>1048</v>
      </c>
      <c r="G339" s="462">
        <v>25000000</v>
      </c>
      <c r="H339" s="462">
        <v>25000000</v>
      </c>
    </row>
    <row r="340" spans="1:9" ht="15.95" customHeight="1" x14ac:dyDescent="0.25">
      <c r="A340" s="463">
        <v>11150019003</v>
      </c>
      <c r="B340" s="447" t="s">
        <v>1346</v>
      </c>
      <c r="C340" s="711" t="s">
        <v>92</v>
      </c>
      <c r="D340" s="712" t="s">
        <v>444</v>
      </c>
      <c r="E340" s="783">
        <v>70131</v>
      </c>
      <c r="F340" s="713" t="s">
        <v>1048</v>
      </c>
      <c r="G340" s="462">
        <v>12000000</v>
      </c>
      <c r="H340" s="462">
        <v>18000000</v>
      </c>
    </row>
    <row r="341" spans="1:9" ht="15.95" customHeight="1" x14ac:dyDescent="0.25">
      <c r="A341" s="463">
        <v>11150019004</v>
      </c>
      <c r="B341" s="447" t="s">
        <v>1347</v>
      </c>
      <c r="C341" s="711" t="s">
        <v>92</v>
      </c>
      <c r="D341" s="712" t="s">
        <v>444</v>
      </c>
      <c r="E341" s="783">
        <v>70131</v>
      </c>
      <c r="F341" s="713" t="s">
        <v>1048</v>
      </c>
      <c r="G341" s="462">
        <v>5200000</v>
      </c>
      <c r="H341" s="462">
        <v>5200000</v>
      </c>
    </row>
    <row r="342" spans="1:9" ht="15.95" customHeight="1" x14ac:dyDescent="0.25">
      <c r="A342" s="463">
        <v>11150019005</v>
      </c>
      <c r="B342" s="447" t="s">
        <v>1348</v>
      </c>
      <c r="C342" s="711" t="s">
        <v>92</v>
      </c>
      <c r="D342" s="712" t="s">
        <v>444</v>
      </c>
      <c r="E342" s="783">
        <v>70131</v>
      </c>
      <c r="F342" s="713" t="s">
        <v>1048</v>
      </c>
      <c r="G342" s="462">
        <v>2400000</v>
      </c>
      <c r="H342" s="462">
        <v>2400000</v>
      </c>
    </row>
    <row r="343" spans="1:9" ht="15.95" customHeight="1" x14ac:dyDescent="0.25">
      <c r="A343" s="463">
        <v>11150019006</v>
      </c>
      <c r="B343" s="430" t="s">
        <v>1349</v>
      </c>
      <c r="C343" s="711" t="s">
        <v>92</v>
      </c>
      <c r="D343" s="712" t="s">
        <v>444</v>
      </c>
      <c r="E343" s="783">
        <v>70131</v>
      </c>
      <c r="F343" s="713" t="s">
        <v>1048</v>
      </c>
      <c r="G343" s="462">
        <v>5000000</v>
      </c>
      <c r="H343" s="462">
        <v>5000000</v>
      </c>
    </row>
    <row r="344" spans="1:9" ht="15.95" customHeight="1" x14ac:dyDescent="0.25">
      <c r="A344" s="463">
        <v>11150019007</v>
      </c>
      <c r="B344" s="430" t="s">
        <v>1350</v>
      </c>
      <c r="C344" s="711" t="s">
        <v>92</v>
      </c>
      <c r="D344" s="712" t="s">
        <v>444</v>
      </c>
      <c r="E344" s="783">
        <v>70131</v>
      </c>
      <c r="F344" s="713" t="s">
        <v>1048</v>
      </c>
      <c r="G344" s="462">
        <v>12000000</v>
      </c>
      <c r="H344" s="462">
        <v>12000000</v>
      </c>
    </row>
    <row r="345" spans="1:9" ht="15.95" customHeight="1" x14ac:dyDescent="0.25">
      <c r="A345" s="463">
        <v>11150019008</v>
      </c>
      <c r="B345" s="430" t="s">
        <v>1351</v>
      </c>
      <c r="C345" s="711" t="s">
        <v>92</v>
      </c>
      <c r="D345" s="712" t="s">
        <v>444</v>
      </c>
      <c r="E345" s="783">
        <v>70131</v>
      </c>
      <c r="F345" s="713" t="s">
        <v>1048</v>
      </c>
      <c r="G345" s="462">
        <v>150000000</v>
      </c>
      <c r="H345" s="462">
        <f>144000000-7200000</f>
        <v>136800000</v>
      </c>
    </row>
    <row r="346" spans="1:9" ht="15.95" customHeight="1" x14ac:dyDescent="0.25">
      <c r="A346" s="463">
        <v>11150019009</v>
      </c>
      <c r="B346" s="447" t="s">
        <v>1352</v>
      </c>
      <c r="C346" s="711" t="s">
        <v>92</v>
      </c>
      <c r="D346" s="712" t="s">
        <v>444</v>
      </c>
      <c r="E346" s="783">
        <v>70131</v>
      </c>
      <c r="F346" s="713" t="s">
        <v>1048</v>
      </c>
      <c r="G346" s="462">
        <v>2400000</v>
      </c>
      <c r="H346" s="462">
        <v>2400000</v>
      </c>
    </row>
    <row r="347" spans="1:9" ht="15.95" customHeight="1" x14ac:dyDescent="0.25">
      <c r="A347" s="463">
        <v>11150019010</v>
      </c>
      <c r="B347" s="430" t="s">
        <v>1353</v>
      </c>
      <c r="C347" s="711" t="s">
        <v>92</v>
      </c>
      <c r="D347" s="712" t="s">
        <v>444</v>
      </c>
      <c r="E347" s="783">
        <v>70131</v>
      </c>
      <c r="F347" s="713" t="s">
        <v>1048</v>
      </c>
      <c r="G347" s="462">
        <v>2250000</v>
      </c>
      <c r="H347" s="462">
        <v>2250000</v>
      </c>
    </row>
    <row r="348" spans="1:9" ht="15.95" customHeight="1" x14ac:dyDescent="0.25">
      <c r="A348" s="463">
        <v>11150019011</v>
      </c>
      <c r="B348" s="447" t="s">
        <v>1354</v>
      </c>
      <c r="C348" s="711" t="s">
        <v>92</v>
      </c>
      <c r="D348" s="712" t="s">
        <v>444</v>
      </c>
      <c r="E348" s="783">
        <v>70131</v>
      </c>
      <c r="F348" s="713" t="s">
        <v>1048</v>
      </c>
      <c r="G348" s="462">
        <v>6000000</v>
      </c>
      <c r="H348" s="462">
        <v>6000000</v>
      </c>
    </row>
    <row r="349" spans="1:9" ht="15.95" customHeight="1" x14ac:dyDescent="0.25">
      <c r="A349" s="463">
        <v>11150019012</v>
      </c>
      <c r="B349" s="430" t="s">
        <v>1355</v>
      </c>
      <c r="C349" s="711" t="s">
        <v>92</v>
      </c>
      <c r="D349" s="712" t="s">
        <v>444</v>
      </c>
      <c r="E349" s="783">
        <v>70131</v>
      </c>
      <c r="F349" s="713" t="s">
        <v>1048</v>
      </c>
      <c r="G349" s="462">
        <v>1800000</v>
      </c>
      <c r="H349" s="462">
        <v>1800000</v>
      </c>
    </row>
    <row r="350" spans="1:9" ht="15.95" customHeight="1" x14ac:dyDescent="0.25">
      <c r="A350" s="463"/>
      <c r="B350" s="870" t="s">
        <v>117</v>
      </c>
      <c r="C350" s="705"/>
      <c r="D350" s="705"/>
      <c r="E350" s="870"/>
      <c r="F350" s="870"/>
      <c r="G350" s="473">
        <f>SUM(G338:G349)</f>
        <v>244050000</v>
      </c>
      <c r="H350" s="473">
        <f>SUM(H338:H349)</f>
        <v>236850000</v>
      </c>
    </row>
    <row r="351" spans="1:9" ht="15.95" customHeight="1" x14ac:dyDescent="0.25">
      <c r="A351" s="463">
        <v>11150019013</v>
      </c>
      <c r="B351" s="436" t="s">
        <v>1356</v>
      </c>
      <c r="C351" s="745" t="s">
        <v>92</v>
      </c>
      <c r="D351" s="746" t="s">
        <v>444</v>
      </c>
      <c r="E351" s="785">
        <v>70131</v>
      </c>
      <c r="F351" s="747" t="s">
        <v>1048</v>
      </c>
      <c r="G351" s="462">
        <v>4800000</v>
      </c>
      <c r="H351" s="462">
        <f>400000*12</f>
        <v>4800000</v>
      </c>
    </row>
    <row r="352" spans="1:9" ht="15.95" customHeight="1" x14ac:dyDescent="0.25">
      <c r="A352" s="463"/>
      <c r="B352" s="976" t="s">
        <v>1357</v>
      </c>
      <c r="C352" s="976"/>
      <c r="D352" s="976"/>
      <c r="E352" s="976"/>
      <c r="F352" s="976"/>
      <c r="G352" s="452">
        <f>SUM(G350:G351)</f>
        <v>248850000</v>
      </c>
      <c r="H352" s="452">
        <f>SUM(H350:H351)</f>
        <v>241650000</v>
      </c>
      <c r="I352" s="450"/>
    </row>
    <row r="353" spans="1:10" ht="66" customHeight="1" x14ac:dyDescent="0.25">
      <c r="A353" s="756"/>
      <c r="B353" s="764">
        <v>60</v>
      </c>
      <c r="C353" s="765"/>
      <c r="D353" s="765"/>
      <c r="E353" s="765"/>
      <c r="F353" s="765"/>
      <c r="G353" s="786"/>
      <c r="H353" s="786"/>
      <c r="I353" s="450"/>
    </row>
    <row r="354" spans="1:10" ht="18" customHeight="1" x14ac:dyDescent="0.25">
      <c r="A354" s="463"/>
      <c r="B354" s="752" t="s">
        <v>1358</v>
      </c>
      <c r="C354" s="712"/>
      <c r="D354" s="712"/>
      <c r="E354" s="753"/>
      <c r="F354" s="753"/>
      <c r="G354" s="753"/>
      <c r="H354" s="463"/>
    </row>
    <row r="355" spans="1:10" ht="18" customHeight="1" x14ac:dyDescent="0.25">
      <c r="A355" s="463">
        <v>12300190001</v>
      </c>
      <c r="B355" s="447" t="s">
        <v>1359</v>
      </c>
      <c r="C355" s="711" t="s">
        <v>92</v>
      </c>
      <c r="D355" s="712" t="s">
        <v>499</v>
      </c>
      <c r="E355" s="783">
        <v>70460</v>
      </c>
      <c r="F355" s="713" t="s">
        <v>1048</v>
      </c>
      <c r="G355" s="462">
        <v>80000000</v>
      </c>
      <c r="H355" s="462">
        <v>80000000</v>
      </c>
    </row>
    <row r="356" spans="1:10" ht="18" customHeight="1" x14ac:dyDescent="0.25">
      <c r="A356" s="463">
        <v>12300190002</v>
      </c>
      <c r="B356" s="447" t="s">
        <v>1360</v>
      </c>
      <c r="C356" s="711" t="s">
        <v>92</v>
      </c>
      <c r="D356" s="712" t="s">
        <v>499</v>
      </c>
      <c r="E356" s="783">
        <v>70460</v>
      </c>
      <c r="F356" s="713" t="s">
        <v>1048</v>
      </c>
      <c r="G356" s="462">
        <v>240000000</v>
      </c>
      <c r="H356" s="462">
        <v>240000000</v>
      </c>
    </row>
    <row r="357" spans="1:10" ht="18" customHeight="1" x14ac:dyDescent="0.25">
      <c r="A357" s="463">
        <v>12300190003</v>
      </c>
      <c r="B357" s="447" t="s">
        <v>1361</v>
      </c>
      <c r="C357" s="711" t="s">
        <v>92</v>
      </c>
      <c r="D357" s="712" t="s">
        <v>499</v>
      </c>
      <c r="E357" s="783"/>
      <c r="F357" s="711" t="s">
        <v>1059</v>
      </c>
      <c r="G357" s="462">
        <v>148800000</v>
      </c>
      <c r="H357" s="462">
        <v>148800000</v>
      </c>
    </row>
    <row r="358" spans="1:10" ht="18" customHeight="1" x14ac:dyDescent="0.25">
      <c r="A358" s="463">
        <v>12300190004</v>
      </c>
      <c r="B358" s="447" t="s">
        <v>1362</v>
      </c>
      <c r="C358" s="711" t="s">
        <v>92</v>
      </c>
      <c r="D358" s="712" t="s">
        <v>499</v>
      </c>
      <c r="E358" s="783">
        <v>70460</v>
      </c>
      <c r="F358" s="713" t="s">
        <v>1048</v>
      </c>
      <c r="G358" s="462">
        <v>6000000</v>
      </c>
      <c r="H358" s="462">
        <v>6000000</v>
      </c>
    </row>
    <row r="359" spans="1:10" ht="18" customHeight="1" x14ac:dyDescent="0.25">
      <c r="A359" s="463">
        <v>12300190005</v>
      </c>
      <c r="B359" s="430" t="s">
        <v>1338</v>
      </c>
      <c r="C359" s="711" t="s">
        <v>92</v>
      </c>
      <c r="D359" s="712" t="s">
        <v>499</v>
      </c>
      <c r="E359" s="783">
        <v>70460</v>
      </c>
      <c r="F359" s="713" t="s">
        <v>1048</v>
      </c>
      <c r="G359" s="462">
        <v>1000000</v>
      </c>
      <c r="H359" s="462">
        <v>1000000</v>
      </c>
    </row>
    <row r="360" spans="1:10" ht="18" customHeight="1" x14ac:dyDescent="0.25">
      <c r="A360" s="463">
        <v>12300190006</v>
      </c>
      <c r="B360" s="447" t="s">
        <v>540</v>
      </c>
      <c r="C360" s="711" t="s">
        <v>92</v>
      </c>
      <c r="D360" s="712" t="s">
        <v>499</v>
      </c>
      <c r="E360" s="783">
        <v>70460</v>
      </c>
      <c r="F360" s="713" t="s">
        <v>1048</v>
      </c>
      <c r="G360" s="462">
        <v>6000000</v>
      </c>
      <c r="H360" s="462">
        <v>6000000</v>
      </c>
    </row>
    <row r="361" spans="1:10" ht="18" customHeight="1" x14ac:dyDescent="0.25">
      <c r="A361" s="463">
        <v>12300190007</v>
      </c>
      <c r="B361" s="430" t="s">
        <v>1363</v>
      </c>
      <c r="C361" s="711" t="s">
        <v>92</v>
      </c>
      <c r="D361" s="712" t="s">
        <v>499</v>
      </c>
      <c r="E361" s="783">
        <v>70460</v>
      </c>
      <c r="F361" s="713" t="s">
        <v>1048</v>
      </c>
      <c r="G361" s="462">
        <v>10000000</v>
      </c>
      <c r="H361" s="462">
        <v>10000000</v>
      </c>
    </row>
    <row r="362" spans="1:10" ht="18" customHeight="1" x14ac:dyDescent="0.25">
      <c r="A362" s="463"/>
      <c r="B362" s="870" t="s">
        <v>117</v>
      </c>
      <c r="C362" s="705"/>
      <c r="D362" s="705"/>
      <c r="E362" s="870"/>
      <c r="F362" s="870"/>
      <c r="G362" s="473">
        <f>SUM(G355:G361)</f>
        <v>491800000</v>
      </c>
      <c r="H362" s="473">
        <f>SUM(H355:H361)</f>
        <v>491800000</v>
      </c>
    </row>
    <row r="363" spans="1:10" s="433" customFormat="1" ht="18" customHeight="1" x14ac:dyDescent="0.25">
      <c r="A363" s="463">
        <v>12300190008</v>
      </c>
      <c r="B363" s="436" t="s">
        <v>1364</v>
      </c>
      <c r="C363" s="712"/>
      <c r="D363" s="712"/>
      <c r="E363" s="463"/>
      <c r="F363" s="463"/>
      <c r="G363" s="473">
        <v>13800000</v>
      </c>
      <c r="H363" s="473">
        <v>13800000</v>
      </c>
      <c r="I363" s="432"/>
      <c r="J363" s="432"/>
    </row>
    <row r="364" spans="1:10" ht="18" customHeight="1" x14ac:dyDescent="0.25">
      <c r="A364" s="463"/>
      <c r="B364" s="978" t="s">
        <v>1365</v>
      </c>
      <c r="C364" s="978"/>
      <c r="D364" s="978"/>
      <c r="E364" s="978"/>
      <c r="F364" s="978"/>
      <c r="G364" s="473">
        <f>SUM(G362:G363)</f>
        <v>505600000</v>
      </c>
      <c r="H364" s="473">
        <f>SUM(H362:H363)</f>
        <v>505600000</v>
      </c>
    </row>
    <row r="365" spans="1:10" s="433" customFormat="1" ht="27.75" customHeight="1" x14ac:dyDescent="0.25">
      <c r="A365" s="870"/>
      <c r="B365" s="774" t="s">
        <v>931</v>
      </c>
      <c r="C365" s="773"/>
      <c r="D365" s="773"/>
      <c r="E365" s="775"/>
      <c r="F365" s="775"/>
      <c r="G365" s="775"/>
      <c r="H365" s="775"/>
      <c r="I365" s="432"/>
      <c r="J365" s="432"/>
    </row>
    <row r="366" spans="1:10" ht="18" customHeight="1" x14ac:dyDescent="0.25">
      <c r="A366" s="463">
        <v>12300190009</v>
      </c>
      <c r="B366" s="436" t="s">
        <v>1366</v>
      </c>
      <c r="C366" s="745" t="s">
        <v>92</v>
      </c>
      <c r="D366" s="746" t="s">
        <v>1367</v>
      </c>
      <c r="E366" s="785">
        <v>70460</v>
      </c>
      <c r="F366" s="745" t="s">
        <v>1368</v>
      </c>
      <c r="G366" s="462">
        <v>3000000</v>
      </c>
      <c r="H366" s="462">
        <f>250000*12</f>
        <v>3000000</v>
      </c>
    </row>
    <row r="367" spans="1:10" ht="28.5" customHeight="1" x14ac:dyDescent="0.25">
      <c r="A367" s="423"/>
      <c r="B367" s="774" t="s">
        <v>1369</v>
      </c>
      <c r="C367" s="423" t="s">
        <v>911</v>
      </c>
      <c r="D367" s="423" t="s">
        <v>912</v>
      </c>
      <c r="E367" s="423" t="s">
        <v>89</v>
      </c>
      <c r="F367" s="423" t="s">
        <v>90</v>
      </c>
      <c r="G367" s="423"/>
      <c r="H367" s="423"/>
    </row>
    <row r="368" spans="1:10" ht="18" customHeight="1" x14ac:dyDescent="0.25">
      <c r="A368" s="463">
        <v>12300190010</v>
      </c>
      <c r="B368" s="436" t="s">
        <v>1370</v>
      </c>
      <c r="C368" s="745" t="s">
        <v>92</v>
      </c>
      <c r="D368" s="746" t="s">
        <v>1371</v>
      </c>
      <c r="E368" s="785">
        <v>70460</v>
      </c>
      <c r="F368" s="745" t="s">
        <v>1368</v>
      </c>
      <c r="G368" s="462">
        <v>3000000</v>
      </c>
      <c r="H368" s="462">
        <v>3000000</v>
      </c>
    </row>
    <row r="369" spans="1:10" ht="30" customHeight="1" x14ac:dyDescent="0.25">
      <c r="A369" s="423"/>
      <c r="B369" s="774" t="s">
        <v>1372</v>
      </c>
      <c r="C369" s="423"/>
      <c r="D369" s="423"/>
      <c r="E369" s="423"/>
      <c r="F369" s="423"/>
      <c r="G369" s="423"/>
      <c r="H369" s="423"/>
    </row>
    <row r="370" spans="1:10" ht="18" customHeight="1" x14ac:dyDescent="0.25">
      <c r="A370" s="463">
        <v>12300190011</v>
      </c>
      <c r="B370" s="436" t="s">
        <v>1373</v>
      </c>
      <c r="C370" s="745" t="s">
        <v>92</v>
      </c>
      <c r="D370" s="746" t="s">
        <v>1374</v>
      </c>
      <c r="E370" s="785">
        <v>70460</v>
      </c>
      <c r="F370" s="745" t="s">
        <v>1368</v>
      </c>
      <c r="G370" s="462">
        <v>6000000</v>
      </c>
      <c r="H370" s="462">
        <v>6000000</v>
      </c>
    </row>
    <row r="371" spans="1:10" ht="30.75" customHeight="1" x14ac:dyDescent="0.25">
      <c r="A371" s="463"/>
      <c r="B371" s="752" t="s">
        <v>933</v>
      </c>
      <c r="C371" s="712"/>
      <c r="D371" s="712"/>
      <c r="E371" s="753"/>
      <c r="F371" s="753"/>
      <c r="G371" s="753"/>
      <c r="H371" s="463"/>
    </row>
    <row r="372" spans="1:10" ht="18" customHeight="1" x14ac:dyDescent="0.25">
      <c r="A372" s="463">
        <v>11160019001</v>
      </c>
      <c r="B372" s="459" t="s">
        <v>1375</v>
      </c>
      <c r="C372" s="711" t="s">
        <v>92</v>
      </c>
      <c r="D372" s="712" t="s">
        <v>934</v>
      </c>
      <c r="E372" s="481">
        <v>70133</v>
      </c>
      <c r="F372" s="713" t="s">
        <v>1048</v>
      </c>
      <c r="G372" s="462">
        <v>50000000</v>
      </c>
      <c r="H372" s="462">
        <f>50000000-10000000</f>
        <v>40000000</v>
      </c>
    </row>
    <row r="373" spans="1:10" ht="18" customHeight="1" x14ac:dyDescent="0.25">
      <c r="A373" s="463">
        <v>11160019002</v>
      </c>
      <c r="B373" s="459" t="s">
        <v>1376</v>
      </c>
      <c r="C373" s="711" t="s">
        <v>92</v>
      </c>
      <c r="D373" s="712" t="s">
        <v>934</v>
      </c>
      <c r="E373" s="481">
        <v>70133</v>
      </c>
      <c r="F373" s="713" t="s">
        <v>1048</v>
      </c>
      <c r="G373" s="462">
        <v>10000000</v>
      </c>
      <c r="H373" s="462">
        <v>10000000</v>
      </c>
    </row>
    <row r="374" spans="1:10" ht="18" customHeight="1" x14ac:dyDescent="0.25">
      <c r="A374" s="463">
        <v>11160019003</v>
      </c>
      <c r="B374" s="459" t="s">
        <v>1377</v>
      </c>
      <c r="C374" s="711" t="s">
        <v>92</v>
      </c>
      <c r="D374" s="712" t="s">
        <v>934</v>
      </c>
      <c r="E374" s="481">
        <v>70133</v>
      </c>
      <c r="F374" s="713" t="s">
        <v>1048</v>
      </c>
      <c r="G374" s="462">
        <v>36000000</v>
      </c>
      <c r="H374" s="462">
        <v>36000000</v>
      </c>
    </row>
    <row r="375" spans="1:10" ht="18" customHeight="1" x14ac:dyDescent="0.25">
      <c r="A375" s="463">
        <v>11160019004</v>
      </c>
      <c r="B375" s="459" t="s">
        <v>1378</v>
      </c>
      <c r="C375" s="711" t="s">
        <v>92</v>
      </c>
      <c r="D375" s="712" t="s">
        <v>934</v>
      </c>
      <c r="E375" s="481">
        <v>70133</v>
      </c>
      <c r="F375" s="713" t="s">
        <v>1048</v>
      </c>
      <c r="G375" s="462">
        <v>5000000</v>
      </c>
      <c r="H375" s="462">
        <v>5000000</v>
      </c>
    </row>
    <row r="376" spans="1:10" ht="18" customHeight="1" x14ac:dyDescent="0.25">
      <c r="A376" s="463">
        <v>11160019005</v>
      </c>
      <c r="B376" s="459" t="s">
        <v>1379</v>
      </c>
      <c r="C376" s="711" t="s">
        <v>92</v>
      </c>
      <c r="D376" s="712" t="s">
        <v>934</v>
      </c>
      <c r="E376" s="481">
        <v>70133</v>
      </c>
      <c r="F376" s="713" t="s">
        <v>1048</v>
      </c>
      <c r="G376" s="462">
        <v>1000000</v>
      </c>
      <c r="H376" s="462">
        <v>1000000</v>
      </c>
    </row>
    <row r="377" spans="1:10" ht="18" customHeight="1" x14ac:dyDescent="0.25">
      <c r="A377" s="463">
        <v>11160019006</v>
      </c>
      <c r="B377" s="430" t="s">
        <v>1380</v>
      </c>
      <c r="C377" s="711" t="s">
        <v>92</v>
      </c>
      <c r="D377" s="712" t="s">
        <v>1381</v>
      </c>
      <c r="E377" s="481">
        <v>70133</v>
      </c>
      <c r="F377" s="713" t="s">
        <v>1048</v>
      </c>
      <c r="G377" s="462">
        <v>2000000</v>
      </c>
      <c r="H377" s="462">
        <v>2000000</v>
      </c>
    </row>
    <row r="378" spans="1:10" ht="18" customHeight="1" x14ac:dyDescent="0.25">
      <c r="A378" s="463">
        <v>11160019007</v>
      </c>
      <c r="B378" s="430" t="s">
        <v>1218</v>
      </c>
      <c r="C378" s="711"/>
      <c r="D378" s="712"/>
      <c r="E378" s="481"/>
      <c r="F378" s="713"/>
      <c r="G378" s="462"/>
      <c r="H378" s="462">
        <v>10000000</v>
      </c>
    </row>
    <row r="379" spans="1:10" ht="18" customHeight="1" x14ac:dyDescent="0.25">
      <c r="A379" s="463"/>
      <c r="B379" s="876" t="s">
        <v>117</v>
      </c>
      <c r="C379" s="710"/>
      <c r="D379" s="710"/>
      <c r="E379" s="787"/>
      <c r="F379" s="787"/>
      <c r="G379" s="788">
        <f>SUM(G372:G377)</f>
        <v>104000000</v>
      </c>
      <c r="H379" s="788">
        <f>SUM(H372:H378)</f>
        <v>104000000</v>
      </c>
    </row>
    <row r="380" spans="1:10" ht="18" customHeight="1" x14ac:dyDescent="0.25">
      <c r="A380" s="463">
        <v>11160019008</v>
      </c>
      <c r="B380" s="436" t="s">
        <v>1382</v>
      </c>
      <c r="C380" s="710"/>
      <c r="D380" s="710"/>
      <c r="E380" s="787"/>
      <c r="F380" s="787"/>
      <c r="G380" s="789">
        <v>12000000</v>
      </c>
      <c r="H380" s="789">
        <v>12000000</v>
      </c>
    </row>
    <row r="381" spans="1:10" ht="18" customHeight="1" x14ac:dyDescent="0.25">
      <c r="A381" s="463"/>
      <c r="B381" s="979" t="s">
        <v>1383</v>
      </c>
      <c r="C381" s="979"/>
      <c r="D381" s="979"/>
      <c r="E381" s="979"/>
      <c r="F381" s="979"/>
      <c r="G381" s="788">
        <f>SUM(G379:G380)</f>
        <v>116000000</v>
      </c>
      <c r="H381" s="788">
        <f>SUM(H379:H380)</f>
        <v>116000000</v>
      </c>
    </row>
    <row r="382" spans="1:10" ht="65.25" customHeight="1" x14ac:dyDescent="0.25">
      <c r="A382" s="756"/>
      <c r="B382" s="460" t="s">
        <v>1384</v>
      </c>
      <c r="C382" s="461"/>
      <c r="D382" s="461"/>
      <c r="E382" s="461"/>
      <c r="F382" s="461"/>
      <c r="G382" s="790"/>
      <c r="H382" s="790"/>
    </row>
    <row r="383" spans="1:10" ht="30.75" customHeight="1" x14ac:dyDescent="0.25">
      <c r="A383" s="463"/>
      <c r="B383" s="774" t="s">
        <v>1385</v>
      </c>
      <c r="C383" s="712"/>
      <c r="D383" s="712"/>
      <c r="E383" s="775"/>
      <c r="F383" s="775"/>
      <c r="G383" s="775"/>
      <c r="H383" s="775"/>
    </row>
    <row r="384" spans="1:10" s="455" customFormat="1" ht="21" customHeight="1" x14ac:dyDescent="0.25">
      <c r="A384" s="463">
        <v>11160019009</v>
      </c>
      <c r="B384" s="436" t="s">
        <v>759</v>
      </c>
      <c r="C384" s="745" t="s">
        <v>92</v>
      </c>
      <c r="D384" s="746" t="s">
        <v>1381</v>
      </c>
      <c r="E384" s="763">
        <v>70111</v>
      </c>
      <c r="F384" s="745" t="s">
        <v>1059</v>
      </c>
      <c r="G384" s="451">
        <v>2700000</v>
      </c>
      <c r="H384" s="451">
        <v>2700000</v>
      </c>
      <c r="I384" s="454"/>
      <c r="J384" s="454"/>
    </row>
    <row r="385" spans="1:10" s="455" customFormat="1" ht="21" customHeight="1" x14ac:dyDescent="0.25">
      <c r="A385" s="463">
        <v>11160019010</v>
      </c>
      <c r="B385" s="459" t="s">
        <v>1386</v>
      </c>
      <c r="C385" s="711" t="s">
        <v>92</v>
      </c>
      <c r="D385" s="712" t="s">
        <v>934</v>
      </c>
      <c r="E385" s="481">
        <v>70133</v>
      </c>
      <c r="F385" s="711" t="s">
        <v>1387</v>
      </c>
      <c r="G385" s="462">
        <v>200000000</v>
      </c>
      <c r="H385" s="462">
        <v>200000000</v>
      </c>
      <c r="I385" s="454"/>
      <c r="J385" s="454"/>
    </row>
    <row r="386" spans="1:10" s="455" customFormat="1" ht="21" customHeight="1" x14ac:dyDescent="0.25">
      <c r="A386" s="463"/>
      <c r="B386" s="978" t="s">
        <v>1388</v>
      </c>
      <c r="C386" s="978"/>
      <c r="D386" s="978"/>
      <c r="E386" s="978"/>
      <c r="F386" s="978"/>
      <c r="G386" s="978"/>
      <c r="H386" s="788">
        <f>SUM(H384:H385)</f>
        <v>202700000</v>
      </c>
      <c r="I386" s="454"/>
      <c r="J386" s="454"/>
    </row>
    <row r="387" spans="1:10" ht="38.25" customHeight="1" x14ac:dyDescent="0.25">
      <c r="A387" s="463"/>
      <c r="B387" s="774" t="s">
        <v>1389</v>
      </c>
      <c r="C387" s="712"/>
      <c r="D387" s="712"/>
      <c r="E387" s="775"/>
      <c r="F387" s="775"/>
      <c r="G387" s="775"/>
      <c r="H387" s="775"/>
    </row>
    <row r="388" spans="1:10" ht="21" customHeight="1" x14ac:dyDescent="0.25">
      <c r="A388" s="463">
        <v>11160019011</v>
      </c>
      <c r="B388" s="436" t="s">
        <v>1390</v>
      </c>
      <c r="C388" s="745" t="s">
        <v>92</v>
      </c>
      <c r="D388" s="746" t="s">
        <v>1391</v>
      </c>
      <c r="E388" s="791">
        <v>70320</v>
      </c>
      <c r="F388" s="747" t="s">
        <v>1048</v>
      </c>
      <c r="G388" s="462">
        <v>4200000</v>
      </c>
      <c r="H388" s="462">
        <f>(1750000+350000)*12</f>
        <v>25200000</v>
      </c>
    </row>
    <row r="389" spans="1:10" ht="21" customHeight="1" x14ac:dyDescent="0.25">
      <c r="A389" s="463">
        <v>11160019012</v>
      </c>
      <c r="B389" s="459" t="s">
        <v>1392</v>
      </c>
      <c r="C389" s="711" t="s">
        <v>92</v>
      </c>
      <c r="D389" s="712" t="s">
        <v>934</v>
      </c>
      <c r="E389" s="481">
        <v>70133</v>
      </c>
      <c r="F389" s="711" t="s">
        <v>1393</v>
      </c>
      <c r="G389" s="462">
        <v>10000000</v>
      </c>
      <c r="H389" s="462">
        <v>10000000</v>
      </c>
    </row>
    <row r="390" spans="1:10" ht="21" customHeight="1" x14ac:dyDescent="0.25">
      <c r="A390" s="463"/>
      <c r="B390" s="978" t="s">
        <v>1394</v>
      </c>
      <c r="C390" s="978"/>
      <c r="D390" s="978"/>
      <c r="E390" s="978"/>
      <c r="F390" s="978"/>
      <c r="G390" s="978"/>
      <c r="H390" s="788">
        <f>SUM(H388:H389)</f>
        <v>35200000</v>
      </c>
    </row>
    <row r="391" spans="1:10" ht="36" customHeight="1" x14ac:dyDescent="0.25">
      <c r="A391" s="463"/>
      <c r="B391" s="774" t="s">
        <v>1395</v>
      </c>
      <c r="C391" s="712"/>
      <c r="D391" s="712"/>
      <c r="E391" s="792"/>
      <c r="F391" s="792"/>
      <c r="G391" s="792"/>
      <c r="H391" s="792"/>
    </row>
    <row r="392" spans="1:10" ht="21" customHeight="1" x14ac:dyDescent="0.25">
      <c r="A392" s="463">
        <v>11160019013</v>
      </c>
      <c r="B392" s="436" t="s">
        <v>1396</v>
      </c>
      <c r="C392" s="745" t="s">
        <v>92</v>
      </c>
      <c r="D392" s="746" t="s">
        <v>1397</v>
      </c>
      <c r="E392" s="791">
        <v>70840</v>
      </c>
      <c r="F392" s="747" t="s">
        <v>1048</v>
      </c>
      <c r="G392" s="462">
        <v>1350000</v>
      </c>
      <c r="H392" s="462">
        <f>112500*12</f>
        <v>1350000</v>
      </c>
    </row>
    <row r="393" spans="1:10" ht="30.75" customHeight="1" x14ac:dyDescent="0.25">
      <c r="A393" s="463"/>
      <c r="B393" s="774" t="s">
        <v>1398</v>
      </c>
      <c r="C393" s="712"/>
      <c r="D393" s="712"/>
      <c r="E393" s="775"/>
      <c r="F393" s="775"/>
      <c r="G393" s="775"/>
      <c r="H393" s="775"/>
    </row>
    <row r="394" spans="1:10" ht="21" customHeight="1" x14ac:dyDescent="0.25">
      <c r="A394" s="463">
        <v>11160019014</v>
      </c>
      <c r="B394" s="436" t="s">
        <v>1399</v>
      </c>
      <c r="C394" s="745" t="s">
        <v>92</v>
      </c>
      <c r="D394" s="746" t="s">
        <v>1400</v>
      </c>
      <c r="E394" s="791">
        <v>70840</v>
      </c>
      <c r="F394" s="747" t="s">
        <v>1048</v>
      </c>
      <c r="G394" s="462">
        <v>1350000</v>
      </c>
      <c r="H394" s="462">
        <v>1350000</v>
      </c>
    </row>
    <row r="395" spans="1:10" ht="21" customHeight="1" x14ac:dyDescent="0.25">
      <c r="A395" s="463"/>
      <c r="B395" s="436"/>
      <c r="C395" s="745"/>
      <c r="D395" s="746"/>
      <c r="E395" s="791"/>
      <c r="F395" s="747"/>
      <c r="G395" s="462"/>
      <c r="H395" s="462"/>
      <c r="I395" s="450"/>
    </row>
    <row r="396" spans="1:10" ht="36" customHeight="1" x14ac:dyDescent="0.25">
      <c r="A396" s="463"/>
      <c r="B396" s="774" t="s">
        <v>1401</v>
      </c>
      <c r="C396" s="712"/>
      <c r="D396" s="712"/>
      <c r="E396" s="775"/>
      <c r="F396" s="775"/>
      <c r="G396" s="775"/>
      <c r="H396" s="775"/>
    </row>
    <row r="397" spans="1:10" ht="21" customHeight="1" x14ac:dyDescent="0.25">
      <c r="A397" s="463">
        <v>11170019001</v>
      </c>
      <c r="B397" s="793" t="s">
        <v>1402</v>
      </c>
      <c r="C397" s="745" t="s">
        <v>92</v>
      </c>
      <c r="D397" s="746" t="s">
        <v>1403</v>
      </c>
      <c r="E397" s="791">
        <v>70131</v>
      </c>
      <c r="F397" s="747" t="s">
        <v>1048</v>
      </c>
      <c r="G397" s="451">
        <v>27000000</v>
      </c>
      <c r="H397" s="451">
        <v>27000000</v>
      </c>
    </row>
    <row r="398" spans="1:10" ht="21" customHeight="1" x14ac:dyDescent="0.25">
      <c r="A398" s="463"/>
      <c r="B398" s="874" t="s">
        <v>1404</v>
      </c>
      <c r="C398" s="745"/>
      <c r="D398" s="746"/>
      <c r="E398" s="791"/>
      <c r="F398" s="747"/>
      <c r="G398" s="451"/>
      <c r="H398" s="451">
        <f>SUM(H397:H397)</f>
        <v>27000000</v>
      </c>
    </row>
    <row r="399" spans="1:10" ht="21" customHeight="1" x14ac:dyDescent="0.25">
      <c r="A399" s="463">
        <v>11170019002</v>
      </c>
      <c r="B399" s="436" t="s">
        <v>1405</v>
      </c>
      <c r="C399" s="745" t="s">
        <v>92</v>
      </c>
      <c r="D399" s="746" t="s">
        <v>1403</v>
      </c>
      <c r="E399" s="791">
        <v>70131</v>
      </c>
      <c r="F399" s="747" t="s">
        <v>1048</v>
      </c>
      <c r="G399" s="451">
        <v>12000000</v>
      </c>
      <c r="H399" s="451">
        <v>12000000</v>
      </c>
    </row>
    <row r="400" spans="1:10" ht="21" customHeight="1" x14ac:dyDescent="0.25">
      <c r="A400" s="463"/>
      <c r="B400" s="872" t="s">
        <v>1406</v>
      </c>
      <c r="C400" s="748"/>
      <c r="D400" s="749"/>
      <c r="E400" s="794"/>
      <c r="F400" s="750"/>
      <c r="G400" s="452">
        <f>G398+G399</f>
        <v>12000000</v>
      </c>
      <c r="H400" s="452">
        <f>H398+H399</f>
        <v>39000000</v>
      </c>
      <c r="I400" s="450"/>
    </row>
    <row r="401" spans="1:9" ht="74.25" customHeight="1" x14ac:dyDescent="0.25">
      <c r="A401" s="756"/>
      <c r="B401" s="764">
        <v>62</v>
      </c>
      <c r="C401" s="795"/>
      <c r="D401" s="796"/>
      <c r="E401" s="797"/>
      <c r="F401" s="798"/>
      <c r="G401" s="786"/>
      <c r="H401" s="786"/>
      <c r="I401" s="450"/>
    </row>
    <row r="402" spans="1:9" ht="28.5" customHeight="1" x14ac:dyDescent="0.25">
      <c r="A402" s="463"/>
      <c r="B402" s="752" t="s">
        <v>935</v>
      </c>
      <c r="C402" s="772"/>
      <c r="D402" s="712"/>
      <c r="E402" s="753"/>
      <c r="F402" s="753"/>
      <c r="G402" s="753"/>
      <c r="H402" s="463"/>
    </row>
    <row r="403" spans="1:9" ht="18" customHeight="1" x14ac:dyDescent="0.25">
      <c r="A403" s="463">
        <v>14800190001</v>
      </c>
      <c r="B403" s="430" t="s">
        <v>1407</v>
      </c>
      <c r="C403" s="711" t="s">
        <v>92</v>
      </c>
      <c r="D403" s="712" t="s">
        <v>936</v>
      </c>
      <c r="E403" s="783">
        <v>70133</v>
      </c>
      <c r="F403" s="713" t="s">
        <v>1048</v>
      </c>
      <c r="G403" s="462">
        <v>1700000</v>
      </c>
      <c r="H403" s="462">
        <v>1700000</v>
      </c>
    </row>
    <row r="404" spans="1:9" ht="18" customHeight="1" x14ac:dyDescent="0.25">
      <c r="A404" s="463">
        <v>14800190002</v>
      </c>
      <c r="B404" s="430" t="s">
        <v>1408</v>
      </c>
      <c r="C404" s="711" t="s">
        <v>92</v>
      </c>
      <c r="D404" s="712" t="s">
        <v>936</v>
      </c>
      <c r="E404" s="783">
        <v>70133</v>
      </c>
      <c r="F404" s="713" t="s">
        <v>1048</v>
      </c>
      <c r="G404" s="462">
        <v>700000</v>
      </c>
      <c r="H404" s="462">
        <v>700000</v>
      </c>
    </row>
    <row r="405" spans="1:9" ht="18" customHeight="1" x14ac:dyDescent="0.25">
      <c r="A405" s="463">
        <v>14800190003</v>
      </c>
      <c r="B405" s="430" t="s">
        <v>1409</v>
      </c>
      <c r="C405" s="711" t="s">
        <v>92</v>
      </c>
      <c r="D405" s="712" t="s">
        <v>936</v>
      </c>
      <c r="E405" s="783">
        <v>70133</v>
      </c>
      <c r="F405" s="713" t="s">
        <v>1048</v>
      </c>
      <c r="G405" s="462">
        <v>700000</v>
      </c>
      <c r="H405" s="462">
        <v>700000</v>
      </c>
    </row>
    <row r="406" spans="1:9" ht="18" customHeight="1" x14ac:dyDescent="0.25">
      <c r="A406" s="463">
        <v>14800190004</v>
      </c>
      <c r="B406" s="430" t="s">
        <v>1410</v>
      </c>
      <c r="C406" s="711" t="s">
        <v>92</v>
      </c>
      <c r="D406" s="712" t="s">
        <v>936</v>
      </c>
      <c r="E406" s="783">
        <v>70133</v>
      </c>
      <c r="F406" s="713" t="s">
        <v>1048</v>
      </c>
      <c r="G406" s="462">
        <v>200000</v>
      </c>
      <c r="H406" s="462">
        <v>200000</v>
      </c>
    </row>
    <row r="407" spans="1:9" ht="18" customHeight="1" x14ac:dyDescent="0.25">
      <c r="A407" s="463">
        <v>14800190005</v>
      </c>
      <c r="B407" s="430" t="s">
        <v>1411</v>
      </c>
      <c r="C407" s="711" t="s">
        <v>92</v>
      </c>
      <c r="D407" s="712" t="s">
        <v>936</v>
      </c>
      <c r="E407" s="783">
        <v>70133</v>
      </c>
      <c r="F407" s="713" t="s">
        <v>1048</v>
      </c>
      <c r="G407" s="462">
        <v>100000</v>
      </c>
      <c r="H407" s="462">
        <v>100000</v>
      </c>
    </row>
    <row r="408" spans="1:9" ht="18" customHeight="1" x14ac:dyDescent="0.25">
      <c r="A408" s="463">
        <v>14800190006</v>
      </c>
      <c r="B408" s="430" t="s">
        <v>1412</v>
      </c>
      <c r="C408" s="711" t="s">
        <v>92</v>
      </c>
      <c r="D408" s="712" t="s">
        <v>936</v>
      </c>
      <c r="E408" s="783">
        <v>70133</v>
      </c>
      <c r="F408" s="713" t="s">
        <v>1048</v>
      </c>
      <c r="G408" s="462">
        <v>100000</v>
      </c>
      <c r="H408" s="462">
        <v>100000</v>
      </c>
    </row>
    <row r="409" spans="1:9" ht="18" customHeight="1" x14ac:dyDescent="0.25">
      <c r="A409" s="463">
        <v>14800190007</v>
      </c>
      <c r="B409" s="430" t="s">
        <v>1413</v>
      </c>
      <c r="C409" s="711" t="s">
        <v>92</v>
      </c>
      <c r="D409" s="712" t="s">
        <v>936</v>
      </c>
      <c r="E409" s="783">
        <v>70133</v>
      </c>
      <c r="F409" s="713" t="s">
        <v>1048</v>
      </c>
      <c r="G409" s="462">
        <v>250000</v>
      </c>
      <c r="H409" s="462">
        <v>250000</v>
      </c>
    </row>
    <row r="410" spans="1:9" ht="18" customHeight="1" x14ac:dyDescent="0.25">
      <c r="A410" s="463">
        <v>14800190008</v>
      </c>
      <c r="B410" s="430" t="s">
        <v>1414</v>
      </c>
      <c r="C410" s="711" t="s">
        <v>92</v>
      </c>
      <c r="D410" s="712" t="s">
        <v>936</v>
      </c>
      <c r="E410" s="783">
        <v>70133</v>
      </c>
      <c r="F410" s="713" t="s">
        <v>1048</v>
      </c>
      <c r="G410" s="462">
        <v>800000</v>
      </c>
      <c r="H410" s="462">
        <v>800000</v>
      </c>
    </row>
    <row r="411" spans="1:9" ht="18" customHeight="1" x14ac:dyDescent="0.25">
      <c r="A411" s="463">
        <v>14800190009</v>
      </c>
      <c r="B411" s="430" t="s">
        <v>1415</v>
      </c>
      <c r="C411" s="711" t="s">
        <v>92</v>
      </c>
      <c r="D411" s="712" t="s">
        <v>936</v>
      </c>
      <c r="E411" s="783">
        <v>70133</v>
      </c>
      <c r="F411" s="713" t="s">
        <v>1048</v>
      </c>
      <c r="G411" s="462">
        <v>100000</v>
      </c>
      <c r="H411" s="462">
        <v>100000</v>
      </c>
    </row>
    <row r="412" spans="1:9" ht="18" customHeight="1" x14ac:dyDescent="0.25">
      <c r="A412" s="463">
        <v>14800190010</v>
      </c>
      <c r="B412" s="430" t="s">
        <v>1416</v>
      </c>
      <c r="C412" s="711" t="s">
        <v>92</v>
      </c>
      <c r="D412" s="712" t="s">
        <v>936</v>
      </c>
      <c r="E412" s="783">
        <v>70133</v>
      </c>
      <c r="F412" s="713" t="s">
        <v>1048</v>
      </c>
      <c r="G412" s="462">
        <v>120000</v>
      </c>
      <c r="H412" s="462">
        <v>120000</v>
      </c>
    </row>
    <row r="413" spans="1:9" ht="18" customHeight="1" x14ac:dyDescent="0.25">
      <c r="A413" s="463">
        <v>14800190011</v>
      </c>
      <c r="B413" s="430" t="s">
        <v>1417</v>
      </c>
      <c r="C413" s="711" t="s">
        <v>92</v>
      </c>
      <c r="D413" s="712" t="s">
        <v>936</v>
      </c>
      <c r="E413" s="783">
        <v>70133</v>
      </c>
      <c r="F413" s="713" t="s">
        <v>1048</v>
      </c>
      <c r="G413" s="462">
        <v>1500000</v>
      </c>
      <c r="H413" s="462">
        <v>1500000</v>
      </c>
    </row>
    <row r="414" spans="1:9" ht="18" customHeight="1" x14ac:dyDescent="0.25">
      <c r="A414" s="463">
        <v>14800190012</v>
      </c>
      <c r="B414" s="430" t="s">
        <v>1418</v>
      </c>
      <c r="C414" s="711" t="s">
        <v>92</v>
      </c>
      <c r="D414" s="712" t="s">
        <v>936</v>
      </c>
      <c r="E414" s="783">
        <v>70133</v>
      </c>
      <c r="F414" s="713" t="s">
        <v>1048</v>
      </c>
      <c r="G414" s="462">
        <v>50000</v>
      </c>
      <c r="H414" s="462">
        <v>50000</v>
      </c>
    </row>
    <row r="415" spans="1:9" ht="18" customHeight="1" x14ac:dyDescent="0.25">
      <c r="A415" s="463">
        <v>14800190013</v>
      </c>
      <c r="B415" s="430" t="s">
        <v>1419</v>
      </c>
      <c r="C415" s="711" t="s">
        <v>92</v>
      </c>
      <c r="D415" s="712" t="s">
        <v>936</v>
      </c>
      <c r="E415" s="783">
        <v>70133</v>
      </c>
      <c r="F415" s="713" t="s">
        <v>1048</v>
      </c>
      <c r="G415" s="462">
        <v>200000</v>
      </c>
      <c r="H415" s="462">
        <v>200000</v>
      </c>
    </row>
    <row r="416" spans="1:9" ht="18" customHeight="1" x14ac:dyDescent="0.25">
      <c r="A416" s="463">
        <v>14800190014</v>
      </c>
      <c r="B416" s="430" t="s">
        <v>1420</v>
      </c>
      <c r="C416" s="711" t="s">
        <v>92</v>
      </c>
      <c r="D416" s="712" t="s">
        <v>936</v>
      </c>
      <c r="E416" s="783">
        <v>70133</v>
      </c>
      <c r="F416" s="713" t="s">
        <v>1048</v>
      </c>
      <c r="G416" s="462">
        <v>120000</v>
      </c>
      <c r="H416" s="462">
        <v>120000</v>
      </c>
    </row>
    <row r="417" spans="1:8" ht="18" customHeight="1" x14ac:dyDescent="0.25">
      <c r="A417" s="463">
        <v>14800190015</v>
      </c>
      <c r="B417" s="430" t="s">
        <v>1421</v>
      </c>
      <c r="C417" s="711" t="s">
        <v>92</v>
      </c>
      <c r="D417" s="712" t="s">
        <v>936</v>
      </c>
      <c r="E417" s="783">
        <v>70133</v>
      </c>
      <c r="F417" s="713" t="s">
        <v>1048</v>
      </c>
      <c r="G417" s="462">
        <v>200000</v>
      </c>
      <c r="H417" s="462">
        <v>200000</v>
      </c>
    </row>
    <row r="418" spans="1:8" ht="18" customHeight="1" x14ac:dyDescent="0.25">
      <c r="A418" s="463">
        <v>14800190016</v>
      </c>
      <c r="B418" s="430" t="s">
        <v>1422</v>
      </c>
      <c r="C418" s="711" t="s">
        <v>92</v>
      </c>
      <c r="D418" s="712" t="s">
        <v>936</v>
      </c>
      <c r="E418" s="783">
        <v>70133</v>
      </c>
      <c r="F418" s="713" t="s">
        <v>1048</v>
      </c>
      <c r="G418" s="462">
        <v>80000</v>
      </c>
      <c r="H418" s="462">
        <v>80000</v>
      </c>
    </row>
    <row r="419" spans="1:8" ht="18" customHeight="1" x14ac:dyDescent="0.25">
      <c r="A419" s="463">
        <v>14800190017</v>
      </c>
      <c r="B419" s="430" t="s">
        <v>1423</v>
      </c>
      <c r="C419" s="711" t="s">
        <v>92</v>
      </c>
      <c r="D419" s="712" t="s">
        <v>936</v>
      </c>
      <c r="E419" s="783">
        <v>70133</v>
      </c>
      <c r="F419" s="713" t="s">
        <v>1048</v>
      </c>
      <c r="G419" s="462">
        <v>480000</v>
      </c>
      <c r="H419" s="462">
        <v>480000</v>
      </c>
    </row>
    <row r="420" spans="1:8" ht="18" customHeight="1" x14ac:dyDescent="0.25">
      <c r="A420" s="463">
        <v>14800190018</v>
      </c>
      <c r="B420" s="430" t="s">
        <v>1424</v>
      </c>
      <c r="C420" s="711" t="s">
        <v>92</v>
      </c>
      <c r="D420" s="712" t="s">
        <v>936</v>
      </c>
      <c r="E420" s="783">
        <v>70133</v>
      </c>
      <c r="F420" s="713" t="s">
        <v>1048</v>
      </c>
      <c r="G420" s="462">
        <v>500000</v>
      </c>
      <c r="H420" s="462">
        <v>500000</v>
      </c>
    </row>
    <row r="421" spans="1:8" ht="18" customHeight="1" x14ac:dyDescent="0.25">
      <c r="A421" s="463">
        <v>14800190019</v>
      </c>
      <c r="B421" s="430" t="s">
        <v>1419</v>
      </c>
      <c r="C421" s="711" t="s">
        <v>92</v>
      </c>
      <c r="D421" s="712" t="s">
        <v>936</v>
      </c>
      <c r="E421" s="783">
        <v>70133</v>
      </c>
      <c r="F421" s="713" t="s">
        <v>1048</v>
      </c>
      <c r="G421" s="462">
        <v>150000</v>
      </c>
      <c r="H421" s="462">
        <v>150000</v>
      </c>
    </row>
    <row r="422" spans="1:8" ht="18" customHeight="1" x14ac:dyDescent="0.25">
      <c r="A422" s="463">
        <v>14800190020</v>
      </c>
      <c r="B422" s="430" t="s">
        <v>1425</v>
      </c>
      <c r="C422" s="711" t="s">
        <v>92</v>
      </c>
      <c r="D422" s="712" t="s">
        <v>936</v>
      </c>
      <c r="E422" s="783">
        <v>70133</v>
      </c>
      <c r="F422" s="713" t="s">
        <v>1048</v>
      </c>
      <c r="G422" s="462">
        <v>250000</v>
      </c>
      <c r="H422" s="462">
        <v>250000</v>
      </c>
    </row>
    <row r="423" spans="1:8" ht="18" customHeight="1" x14ac:dyDescent="0.25">
      <c r="A423" s="463">
        <v>14800190021</v>
      </c>
      <c r="B423" s="430" t="s">
        <v>1426</v>
      </c>
      <c r="C423" s="711" t="s">
        <v>92</v>
      </c>
      <c r="D423" s="712" t="s">
        <v>936</v>
      </c>
      <c r="E423" s="783">
        <v>70133</v>
      </c>
      <c r="F423" s="713" t="s">
        <v>1048</v>
      </c>
      <c r="G423" s="462">
        <v>500000</v>
      </c>
      <c r="H423" s="462">
        <v>500000</v>
      </c>
    </row>
    <row r="424" spans="1:8" ht="18" customHeight="1" x14ac:dyDescent="0.25">
      <c r="A424" s="463">
        <v>14800190022</v>
      </c>
      <c r="B424" s="430" t="s">
        <v>1427</v>
      </c>
      <c r="C424" s="711" t="s">
        <v>92</v>
      </c>
      <c r="D424" s="712" t="s">
        <v>936</v>
      </c>
      <c r="E424" s="783">
        <v>70133</v>
      </c>
      <c r="F424" s="713" t="s">
        <v>1048</v>
      </c>
      <c r="G424" s="462">
        <v>150000</v>
      </c>
      <c r="H424" s="462">
        <v>150000</v>
      </c>
    </row>
    <row r="425" spans="1:8" ht="18" customHeight="1" x14ac:dyDescent="0.25">
      <c r="A425" s="463">
        <v>14800190023</v>
      </c>
      <c r="B425" s="430" t="s">
        <v>1428</v>
      </c>
      <c r="C425" s="711" t="s">
        <v>92</v>
      </c>
      <c r="D425" s="712" t="s">
        <v>936</v>
      </c>
      <c r="E425" s="783">
        <v>70133</v>
      </c>
      <c r="F425" s="713" t="s">
        <v>1048</v>
      </c>
      <c r="G425" s="462">
        <v>50000</v>
      </c>
      <c r="H425" s="462">
        <v>50000</v>
      </c>
    </row>
    <row r="426" spans="1:8" ht="18" customHeight="1" x14ac:dyDescent="0.25">
      <c r="A426" s="463">
        <v>14800190024</v>
      </c>
      <c r="B426" s="430" t="s">
        <v>1429</v>
      </c>
      <c r="C426" s="711" t="s">
        <v>92</v>
      </c>
      <c r="D426" s="712" t="s">
        <v>936</v>
      </c>
      <c r="E426" s="783">
        <v>70133</v>
      </c>
      <c r="F426" s="713" t="s">
        <v>1048</v>
      </c>
      <c r="G426" s="462">
        <v>9000000</v>
      </c>
      <c r="H426" s="462">
        <v>9000000</v>
      </c>
    </row>
    <row r="427" spans="1:8" ht="18" customHeight="1" x14ac:dyDescent="0.25">
      <c r="A427" s="463">
        <v>14800190025</v>
      </c>
      <c r="B427" s="430" t="s">
        <v>1430</v>
      </c>
      <c r="C427" s="711" t="s">
        <v>92</v>
      </c>
      <c r="D427" s="712" t="s">
        <v>936</v>
      </c>
      <c r="E427" s="783">
        <v>70133</v>
      </c>
      <c r="F427" s="713" t="s">
        <v>1048</v>
      </c>
      <c r="G427" s="462">
        <v>2000000</v>
      </c>
      <c r="H427" s="462">
        <v>2000000</v>
      </c>
    </row>
    <row r="428" spans="1:8" ht="18" customHeight="1" x14ac:dyDescent="0.25">
      <c r="A428" s="463">
        <v>14800190026</v>
      </c>
      <c r="B428" s="430" t="s">
        <v>1431</v>
      </c>
      <c r="C428" s="711" t="s">
        <v>92</v>
      </c>
      <c r="D428" s="712" t="s">
        <v>936</v>
      </c>
      <c r="E428" s="783">
        <v>70133</v>
      </c>
      <c r="F428" s="713" t="s">
        <v>1048</v>
      </c>
      <c r="G428" s="462">
        <v>3000000</v>
      </c>
      <c r="H428" s="462">
        <v>3000000</v>
      </c>
    </row>
    <row r="429" spans="1:8" ht="65.25" customHeight="1" x14ac:dyDescent="0.25">
      <c r="A429" s="756"/>
      <c r="B429" s="449">
        <v>63</v>
      </c>
      <c r="C429" s="722"/>
      <c r="D429" s="720"/>
      <c r="E429" s="799"/>
      <c r="F429" s="758"/>
      <c r="G429" s="759"/>
      <c r="H429" s="759"/>
    </row>
    <row r="430" spans="1:8" ht="23.25" customHeight="1" x14ac:dyDescent="0.25">
      <c r="A430" s="463"/>
      <c r="B430" s="871" t="s">
        <v>1432</v>
      </c>
      <c r="C430" s="711"/>
      <c r="D430" s="712"/>
      <c r="E430" s="783"/>
      <c r="F430" s="713"/>
      <c r="G430" s="462"/>
      <c r="H430" s="462"/>
    </row>
    <row r="431" spans="1:8" ht="21" customHeight="1" x14ac:dyDescent="0.25">
      <c r="A431" s="463">
        <v>14800190027</v>
      </c>
      <c r="B431" s="430" t="s">
        <v>1433</v>
      </c>
      <c r="C431" s="711" t="s">
        <v>92</v>
      </c>
      <c r="D431" s="712" t="s">
        <v>936</v>
      </c>
      <c r="E431" s="783">
        <v>70133</v>
      </c>
      <c r="F431" s="713" t="s">
        <v>1048</v>
      </c>
      <c r="G431" s="462">
        <v>1500000</v>
      </c>
      <c r="H431" s="462">
        <v>1500000</v>
      </c>
    </row>
    <row r="432" spans="1:8" ht="21" customHeight="1" x14ac:dyDescent="0.25">
      <c r="A432" s="463">
        <v>14800190028</v>
      </c>
      <c r="B432" s="430" t="s">
        <v>1434</v>
      </c>
      <c r="C432" s="711" t="s">
        <v>92</v>
      </c>
      <c r="D432" s="712" t="s">
        <v>936</v>
      </c>
      <c r="E432" s="783">
        <v>70133</v>
      </c>
      <c r="F432" s="713" t="s">
        <v>1048</v>
      </c>
      <c r="G432" s="462">
        <v>7500000</v>
      </c>
      <c r="H432" s="462">
        <v>7500000</v>
      </c>
    </row>
    <row r="433" spans="1:8" ht="21" customHeight="1" x14ac:dyDescent="0.25">
      <c r="A433" s="463">
        <v>14800190029</v>
      </c>
      <c r="B433" s="463" t="s">
        <v>1435</v>
      </c>
      <c r="C433" s="711" t="s">
        <v>92</v>
      </c>
      <c r="D433" s="712" t="s">
        <v>936</v>
      </c>
      <c r="E433" s="783">
        <v>70133</v>
      </c>
      <c r="F433" s="713" t="s">
        <v>1048</v>
      </c>
      <c r="G433" s="462">
        <v>1500000</v>
      </c>
      <c r="H433" s="462">
        <v>1500000</v>
      </c>
    </row>
    <row r="434" spans="1:8" ht="21" customHeight="1" x14ac:dyDescent="0.25">
      <c r="A434" s="463">
        <v>14800190030</v>
      </c>
      <c r="B434" s="447" t="s">
        <v>1436</v>
      </c>
      <c r="C434" s="711" t="s">
        <v>92</v>
      </c>
      <c r="D434" s="712" t="s">
        <v>936</v>
      </c>
      <c r="E434" s="783">
        <v>70133</v>
      </c>
      <c r="F434" s="713" t="s">
        <v>1048</v>
      </c>
      <c r="G434" s="462">
        <v>6000000</v>
      </c>
      <c r="H434" s="462">
        <v>6000000</v>
      </c>
    </row>
    <row r="435" spans="1:8" ht="21" customHeight="1" x14ac:dyDescent="0.25">
      <c r="A435" s="463">
        <v>14800190031</v>
      </c>
      <c r="B435" s="430" t="s">
        <v>1293</v>
      </c>
      <c r="C435" s="711" t="s">
        <v>92</v>
      </c>
      <c r="D435" s="712" t="s">
        <v>936</v>
      </c>
      <c r="E435" s="783">
        <v>70133</v>
      </c>
      <c r="F435" s="713" t="s">
        <v>1048</v>
      </c>
      <c r="G435" s="462">
        <v>10000000</v>
      </c>
      <c r="H435" s="462">
        <v>10000000</v>
      </c>
    </row>
    <row r="436" spans="1:8" ht="21" customHeight="1" x14ac:dyDescent="0.25">
      <c r="A436" s="463">
        <v>14800190032</v>
      </c>
      <c r="B436" s="430" t="s">
        <v>1437</v>
      </c>
      <c r="C436" s="711" t="s">
        <v>92</v>
      </c>
      <c r="D436" s="712" t="s">
        <v>936</v>
      </c>
      <c r="E436" s="783">
        <v>70133</v>
      </c>
      <c r="F436" s="713" t="s">
        <v>1048</v>
      </c>
      <c r="G436" s="462">
        <v>7000000</v>
      </c>
      <c r="H436" s="462">
        <v>7000000</v>
      </c>
    </row>
    <row r="437" spans="1:8" ht="21" customHeight="1" x14ac:dyDescent="0.25">
      <c r="A437" s="463">
        <v>14800190033</v>
      </c>
      <c r="B437" s="430" t="s">
        <v>1156</v>
      </c>
      <c r="C437" s="711" t="s">
        <v>92</v>
      </c>
      <c r="D437" s="712" t="s">
        <v>936</v>
      </c>
      <c r="E437" s="783">
        <v>70133</v>
      </c>
      <c r="F437" s="713" t="s">
        <v>1048</v>
      </c>
      <c r="G437" s="462">
        <v>7500000</v>
      </c>
      <c r="H437" s="462">
        <v>7500000</v>
      </c>
    </row>
    <row r="438" spans="1:8" ht="21" customHeight="1" x14ac:dyDescent="0.25">
      <c r="A438" s="463">
        <v>14800190034</v>
      </c>
      <c r="B438" s="430" t="s">
        <v>1153</v>
      </c>
      <c r="C438" s="711" t="s">
        <v>92</v>
      </c>
      <c r="D438" s="712" t="s">
        <v>936</v>
      </c>
      <c r="E438" s="783">
        <v>70133</v>
      </c>
      <c r="F438" s="713" t="s">
        <v>1048</v>
      </c>
      <c r="G438" s="462">
        <v>15000000</v>
      </c>
      <c r="H438" s="462">
        <v>15000000</v>
      </c>
    </row>
    <row r="439" spans="1:8" ht="21" customHeight="1" x14ac:dyDescent="0.25">
      <c r="A439" s="463">
        <v>14800190035</v>
      </c>
      <c r="B439" s="430" t="s">
        <v>1438</v>
      </c>
      <c r="C439" s="711" t="s">
        <v>92</v>
      </c>
      <c r="D439" s="712" t="s">
        <v>936</v>
      </c>
      <c r="E439" s="783">
        <v>70133</v>
      </c>
      <c r="F439" s="713" t="s">
        <v>1048</v>
      </c>
      <c r="G439" s="462">
        <v>7000000</v>
      </c>
      <c r="H439" s="462">
        <v>7000000</v>
      </c>
    </row>
    <row r="440" spans="1:8" ht="21" customHeight="1" x14ac:dyDescent="0.25">
      <c r="A440" s="463">
        <v>14800190036</v>
      </c>
      <c r="B440" s="430" t="s">
        <v>1439</v>
      </c>
      <c r="C440" s="711" t="s">
        <v>92</v>
      </c>
      <c r="D440" s="712" t="s">
        <v>936</v>
      </c>
      <c r="E440" s="783">
        <v>70133</v>
      </c>
      <c r="F440" s="713" t="s">
        <v>1048</v>
      </c>
      <c r="G440" s="462">
        <v>3000000</v>
      </c>
      <c r="H440" s="462">
        <v>3000000</v>
      </c>
    </row>
    <row r="441" spans="1:8" ht="21" customHeight="1" x14ac:dyDescent="0.25">
      <c r="A441" s="463">
        <v>14800190037</v>
      </c>
      <c r="B441" s="430" t="s">
        <v>1440</v>
      </c>
      <c r="C441" s="711" t="s">
        <v>92</v>
      </c>
      <c r="D441" s="712" t="s">
        <v>936</v>
      </c>
      <c r="E441" s="783">
        <v>70133</v>
      </c>
      <c r="F441" s="713" t="s">
        <v>1048</v>
      </c>
      <c r="G441" s="462">
        <v>5000000</v>
      </c>
      <c r="H441" s="462">
        <v>5000000</v>
      </c>
    </row>
    <row r="442" spans="1:8" ht="21" customHeight="1" x14ac:dyDescent="0.25">
      <c r="A442" s="463">
        <v>14800190038</v>
      </c>
      <c r="B442" s="430" t="s">
        <v>1282</v>
      </c>
      <c r="C442" s="711" t="s">
        <v>92</v>
      </c>
      <c r="D442" s="712" t="s">
        <v>936</v>
      </c>
      <c r="E442" s="783">
        <v>70133</v>
      </c>
      <c r="F442" s="713" t="s">
        <v>1048</v>
      </c>
      <c r="G442" s="462">
        <v>47000000</v>
      </c>
      <c r="H442" s="462">
        <v>47000000</v>
      </c>
    </row>
    <row r="443" spans="1:8" ht="21" customHeight="1" x14ac:dyDescent="0.25">
      <c r="A443" s="463">
        <v>14800190039</v>
      </c>
      <c r="B443" s="430" t="s">
        <v>1156</v>
      </c>
      <c r="C443" s="711" t="s">
        <v>92</v>
      </c>
      <c r="D443" s="712" t="s">
        <v>936</v>
      </c>
      <c r="E443" s="783">
        <v>70133</v>
      </c>
      <c r="F443" s="713" t="s">
        <v>1048</v>
      </c>
      <c r="G443" s="462">
        <v>13200000</v>
      </c>
      <c r="H443" s="462">
        <v>13200000</v>
      </c>
    </row>
    <row r="444" spans="1:8" ht="21" customHeight="1" x14ac:dyDescent="0.25">
      <c r="A444" s="463">
        <v>14800190040</v>
      </c>
      <c r="B444" s="430" t="s">
        <v>1438</v>
      </c>
      <c r="C444" s="711" t="s">
        <v>92</v>
      </c>
      <c r="D444" s="712" t="s">
        <v>936</v>
      </c>
      <c r="E444" s="783">
        <v>70133</v>
      </c>
      <c r="F444" s="713" t="s">
        <v>1048</v>
      </c>
      <c r="G444" s="462">
        <v>5800000</v>
      </c>
      <c r="H444" s="462">
        <v>5800000</v>
      </c>
    </row>
    <row r="445" spans="1:8" ht="21" customHeight="1" x14ac:dyDescent="0.25">
      <c r="A445" s="463">
        <v>14800190041</v>
      </c>
      <c r="B445" s="430" t="s">
        <v>1156</v>
      </c>
      <c r="C445" s="711" t="s">
        <v>92</v>
      </c>
      <c r="D445" s="712" t="s">
        <v>936</v>
      </c>
      <c r="E445" s="783">
        <v>70133</v>
      </c>
      <c r="F445" s="713" t="s">
        <v>1048</v>
      </c>
      <c r="G445" s="462">
        <v>3300000</v>
      </c>
      <c r="H445" s="462">
        <v>3300000</v>
      </c>
    </row>
    <row r="446" spans="1:8" ht="21" customHeight="1" x14ac:dyDescent="0.25">
      <c r="A446" s="463">
        <v>14800190042</v>
      </c>
      <c r="B446" s="430" t="s">
        <v>1441</v>
      </c>
      <c r="C446" s="711" t="s">
        <v>92</v>
      </c>
      <c r="D446" s="712" t="s">
        <v>936</v>
      </c>
      <c r="E446" s="783">
        <v>70133</v>
      </c>
      <c r="F446" s="713" t="s">
        <v>1048</v>
      </c>
      <c r="G446" s="462">
        <v>16600000</v>
      </c>
      <c r="H446" s="462">
        <v>16600000</v>
      </c>
    </row>
    <row r="447" spans="1:8" ht="21" customHeight="1" x14ac:dyDescent="0.25">
      <c r="A447" s="463">
        <v>14800190043</v>
      </c>
      <c r="B447" s="430" t="s">
        <v>1437</v>
      </c>
      <c r="C447" s="711" t="s">
        <v>92</v>
      </c>
      <c r="D447" s="712" t="s">
        <v>936</v>
      </c>
      <c r="E447" s="783">
        <v>70133</v>
      </c>
      <c r="F447" s="713" t="s">
        <v>1048</v>
      </c>
      <c r="G447" s="462">
        <v>14100000</v>
      </c>
      <c r="H447" s="462">
        <v>14100000</v>
      </c>
    </row>
    <row r="448" spans="1:8" ht="21" customHeight="1" x14ac:dyDescent="0.25">
      <c r="A448" s="463">
        <v>14800190044</v>
      </c>
      <c r="B448" s="430" t="s">
        <v>2065</v>
      </c>
      <c r="C448" s="711"/>
      <c r="D448" s="712"/>
      <c r="E448" s="783"/>
      <c r="F448" s="713"/>
      <c r="G448" s="462"/>
      <c r="H448" s="462">
        <v>500000000</v>
      </c>
    </row>
    <row r="449" spans="1:10" ht="21" customHeight="1" x14ac:dyDescent="0.25">
      <c r="A449" s="463"/>
      <c r="B449" s="974" t="s">
        <v>1442</v>
      </c>
      <c r="C449" s="974"/>
      <c r="D449" s="974"/>
      <c r="E449" s="974"/>
      <c r="F449" s="974"/>
      <c r="G449" s="498">
        <f>SUM(G403:G447)</f>
        <v>194000000</v>
      </c>
      <c r="H449" s="473">
        <f>SUM(H403:H448)</f>
        <v>694000000</v>
      </c>
      <c r="I449" s="450"/>
    </row>
    <row r="450" spans="1:10" ht="80.25" customHeight="1" x14ac:dyDescent="0.25">
      <c r="A450" s="756"/>
      <c r="B450" s="449">
        <v>64</v>
      </c>
      <c r="C450" s="445"/>
      <c r="D450" s="445"/>
      <c r="E450" s="445"/>
      <c r="F450" s="445"/>
      <c r="G450" s="782"/>
      <c r="H450" s="800"/>
      <c r="I450" s="450"/>
    </row>
    <row r="451" spans="1:10" ht="18" customHeight="1" x14ac:dyDescent="0.25">
      <c r="A451" s="463"/>
      <c r="B451" s="752" t="s">
        <v>937</v>
      </c>
      <c r="C451" s="772"/>
      <c r="D451" s="712"/>
      <c r="E451" s="753"/>
      <c r="F451" s="753"/>
      <c r="G451" s="753"/>
      <c r="H451" s="463"/>
    </row>
    <row r="452" spans="1:10" ht="18" customHeight="1" x14ac:dyDescent="0.25">
      <c r="A452" s="463"/>
      <c r="B452" s="447" t="s">
        <v>1443</v>
      </c>
      <c r="C452" s="711" t="s">
        <v>92</v>
      </c>
      <c r="D452" s="712" t="s">
        <v>1444</v>
      </c>
      <c r="E452" s="801">
        <v>70411</v>
      </c>
      <c r="F452" s="711" t="s">
        <v>1059</v>
      </c>
      <c r="G452" s="462">
        <v>17000000</v>
      </c>
      <c r="H452" s="462">
        <v>17000000</v>
      </c>
    </row>
    <row r="453" spans="1:10" ht="18" customHeight="1" x14ac:dyDescent="0.25">
      <c r="A453" s="463"/>
      <c r="B453" s="430" t="s">
        <v>1445</v>
      </c>
      <c r="C453" s="711" t="s">
        <v>92</v>
      </c>
      <c r="D453" s="712" t="s">
        <v>1446</v>
      </c>
      <c r="E453" s="801">
        <v>70411</v>
      </c>
      <c r="F453" s="713" t="s">
        <v>1048</v>
      </c>
      <c r="G453" s="462">
        <v>20000000</v>
      </c>
      <c r="H453" s="462">
        <v>20000000</v>
      </c>
    </row>
    <row r="454" spans="1:10" ht="18" customHeight="1" x14ac:dyDescent="0.25">
      <c r="A454" s="463"/>
      <c r="B454" s="430" t="s">
        <v>1447</v>
      </c>
      <c r="C454" s="711" t="s">
        <v>92</v>
      </c>
      <c r="D454" s="712" t="s">
        <v>1444</v>
      </c>
      <c r="E454" s="801">
        <v>70411</v>
      </c>
      <c r="F454" s="713" t="s">
        <v>1048</v>
      </c>
      <c r="G454" s="462">
        <v>5000000</v>
      </c>
      <c r="H454" s="462">
        <v>5000000</v>
      </c>
    </row>
    <row r="455" spans="1:10" ht="18" customHeight="1" x14ac:dyDescent="0.25">
      <c r="A455" s="463"/>
      <c r="B455" s="430" t="s">
        <v>1448</v>
      </c>
      <c r="C455" s="711" t="s">
        <v>92</v>
      </c>
      <c r="D455" s="712" t="s">
        <v>1444</v>
      </c>
      <c r="E455" s="801">
        <v>70411</v>
      </c>
      <c r="F455" s="711" t="s">
        <v>1059</v>
      </c>
      <c r="G455" s="462">
        <v>5000000</v>
      </c>
      <c r="H455" s="462">
        <v>5000000</v>
      </c>
    </row>
    <row r="456" spans="1:10" ht="18" customHeight="1" x14ac:dyDescent="0.25">
      <c r="A456" s="463"/>
      <c r="B456" s="430" t="s">
        <v>1449</v>
      </c>
      <c r="C456" s="711" t="s">
        <v>92</v>
      </c>
      <c r="D456" s="712" t="s">
        <v>1444</v>
      </c>
      <c r="E456" s="801">
        <v>70411</v>
      </c>
      <c r="F456" s="713" t="s">
        <v>1048</v>
      </c>
      <c r="G456" s="462">
        <v>7500000</v>
      </c>
      <c r="H456" s="462">
        <v>7500000</v>
      </c>
    </row>
    <row r="457" spans="1:10" ht="18" customHeight="1" x14ac:dyDescent="0.25">
      <c r="A457" s="463"/>
      <c r="B457" s="447" t="s">
        <v>1450</v>
      </c>
      <c r="C457" s="711" t="s">
        <v>92</v>
      </c>
      <c r="D457" s="712" t="s">
        <v>1444</v>
      </c>
      <c r="E457" s="801">
        <v>70411</v>
      </c>
      <c r="F457" s="713" t="s">
        <v>1048</v>
      </c>
      <c r="G457" s="462">
        <v>2000000</v>
      </c>
      <c r="H457" s="462">
        <v>2000000</v>
      </c>
    </row>
    <row r="458" spans="1:10" ht="18" customHeight="1" x14ac:dyDescent="0.25">
      <c r="A458" s="463"/>
      <c r="B458" s="447" t="s">
        <v>1451</v>
      </c>
      <c r="C458" s="711" t="s">
        <v>92</v>
      </c>
      <c r="D458" s="712" t="s">
        <v>1444</v>
      </c>
      <c r="E458" s="801">
        <v>70411</v>
      </c>
      <c r="F458" s="713" t="s">
        <v>1048</v>
      </c>
      <c r="G458" s="462">
        <v>1000000</v>
      </c>
      <c r="H458" s="462">
        <v>1000000</v>
      </c>
    </row>
    <row r="459" spans="1:10" ht="18" customHeight="1" x14ac:dyDescent="0.25">
      <c r="A459" s="463"/>
      <c r="B459" s="780" t="s">
        <v>1362</v>
      </c>
      <c r="C459" s="745" t="s">
        <v>92</v>
      </c>
      <c r="D459" s="746" t="s">
        <v>1444</v>
      </c>
      <c r="E459" s="791">
        <v>70411</v>
      </c>
      <c r="F459" s="747" t="s">
        <v>1048</v>
      </c>
      <c r="G459" s="451">
        <v>5000000</v>
      </c>
      <c r="H459" s="451">
        <v>5000000</v>
      </c>
    </row>
    <row r="460" spans="1:10" ht="18" customHeight="1" x14ac:dyDescent="0.25">
      <c r="A460" s="463"/>
      <c r="B460" s="870" t="s">
        <v>117</v>
      </c>
      <c r="C460" s="705"/>
      <c r="D460" s="705"/>
      <c r="E460" s="870"/>
      <c r="F460" s="870"/>
      <c r="G460" s="473">
        <f>SUM(G452:G459)</f>
        <v>62500000</v>
      </c>
      <c r="H460" s="473">
        <f>SUM(H452:H459)</f>
        <v>62500000</v>
      </c>
    </row>
    <row r="461" spans="1:10" ht="18" customHeight="1" x14ac:dyDescent="0.25">
      <c r="A461" s="463"/>
      <c r="B461" s="436" t="s">
        <v>1452</v>
      </c>
      <c r="C461" s="745" t="s">
        <v>92</v>
      </c>
      <c r="D461" s="746" t="s">
        <v>1444</v>
      </c>
      <c r="E461" s="791">
        <v>70411</v>
      </c>
      <c r="F461" s="747" t="s">
        <v>1048</v>
      </c>
      <c r="G461" s="451">
        <v>9000000</v>
      </c>
      <c r="H461" s="451">
        <f>750000*12</f>
        <v>9000000</v>
      </c>
    </row>
    <row r="462" spans="1:10" s="455" customFormat="1" ht="21" customHeight="1" x14ac:dyDescent="0.25">
      <c r="A462" s="763"/>
      <c r="B462" s="978" t="s">
        <v>1453</v>
      </c>
      <c r="C462" s="978"/>
      <c r="D462" s="978"/>
      <c r="E462" s="978"/>
      <c r="F462" s="978"/>
      <c r="G462" s="473">
        <f>SUM(G460:G461)</f>
        <v>71500000</v>
      </c>
      <c r="H462" s="489">
        <f>SUM(H460:H461)</f>
        <v>71500000</v>
      </c>
      <c r="I462" s="458"/>
      <c r="J462" s="454"/>
    </row>
    <row r="463" spans="1:10" ht="34.5" customHeight="1" x14ac:dyDescent="0.25">
      <c r="A463" s="463"/>
      <c r="B463" s="752" t="s">
        <v>938</v>
      </c>
      <c r="C463" s="772"/>
      <c r="D463" s="712"/>
      <c r="E463" s="753"/>
      <c r="F463" s="753"/>
      <c r="G463" s="753"/>
      <c r="H463" s="463"/>
    </row>
    <row r="464" spans="1:10" ht="18" customHeight="1" x14ac:dyDescent="0.25">
      <c r="A464" s="463"/>
      <c r="B464" s="447" t="s">
        <v>1443</v>
      </c>
      <c r="C464" s="711" t="s">
        <v>92</v>
      </c>
      <c r="D464" s="712" t="s">
        <v>299</v>
      </c>
      <c r="E464" s="801">
        <v>70411</v>
      </c>
      <c r="F464" s="711" t="s">
        <v>1059</v>
      </c>
      <c r="G464" s="462">
        <v>10000000</v>
      </c>
      <c r="H464" s="462">
        <v>10000000</v>
      </c>
    </row>
    <row r="465" spans="1:10" ht="18" customHeight="1" x14ac:dyDescent="0.25">
      <c r="A465" s="463"/>
      <c r="B465" s="430" t="s">
        <v>1454</v>
      </c>
      <c r="C465" s="711" t="s">
        <v>92</v>
      </c>
      <c r="D465" s="712" t="s">
        <v>299</v>
      </c>
      <c r="E465" s="801">
        <v>70411</v>
      </c>
      <c r="F465" s="711" t="s">
        <v>1059</v>
      </c>
      <c r="G465" s="462">
        <v>15000000</v>
      </c>
      <c r="H465" s="462">
        <v>15000000</v>
      </c>
    </row>
    <row r="466" spans="1:10" ht="18" customHeight="1" x14ac:dyDescent="0.25">
      <c r="A466" s="463"/>
      <c r="B466" s="447" t="s">
        <v>1455</v>
      </c>
      <c r="C466" s="711" t="s">
        <v>92</v>
      </c>
      <c r="D466" s="712" t="s">
        <v>299</v>
      </c>
      <c r="E466" s="801">
        <v>70411</v>
      </c>
      <c r="F466" s="711" t="s">
        <v>1059</v>
      </c>
      <c r="G466" s="462">
        <v>13000000</v>
      </c>
      <c r="H466" s="462">
        <v>13000000</v>
      </c>
    </row>
    <row r="467" spans="1:10" ht="31.5" customHeight="1" x14ac:dyDescent="0.25">
      <c r="A467" s="463"/>
      <c r="B467" s="430" t="s">
        <v>1456</v>
      </c>
      <c r="C467" s="711" t="s">
        <v>92</v>
      </c>
      <c r="D467" s="712" t="s">
        <v>299</v>
      </c>
      <c r="E467" s="801">
        <v>70411</v>
      </c>
      <c r="F467" s="713" t="s">
        <v>1048</v>
      </c>
      <c r="G467" s="462">
        <v>10000000</v>
      </c>
      <c r="H467" s="462">
        <v>10000000</v>
      </c>
    </row>
    <row r="468" spans="1:10" ht="18" customHeight="1" x14ac:dyDescent="0.25">
      <c r="A468" s="463"/>
      <c r="B468" s="430" t="s">
        <v>1457</v>
      </c>
      <c r="C468" s="711" t="s">
        <v>92</v>
      </c>
      <c r="D468" s="712" t="s">
        <v>299</v>
      </c>
      <c r="E468" s="801">
        <v>70411</v>
      </c>
      <c r="F468" s="713" t="s">
        <v>1048</v>
      </c>
      <c r="G468" s="462">
        <v>2000000</v>
      </c>
      <c r="H468" s="462">
        <v>2000000</v>
      </c>
    </row>
    <row r="469" spans="1:10" ht="18" customHeight="1" x14ac:dyDescent="0.25">
      <c r="A469" s="463"/>
      <c r="B469" s="430" t="s">
        <v>1458</v>
      </c>
      <c r="C469" s="711" t="s">
        <v>92</v>
      </c>
      <c r="D469" s="712" t="s">
        <v>299</v>
      </c>
      <c r="E469" s="801">
        <v>70411</v>
      </c>
      <c r="F469" s="713" t="s">
        <v>1048</v>
      </c>
      <c r="G469" s="462">
        <v>1000000</v>
      </c>
      <c r="H469" s="462">
        <v>1000000</v>
      </c>
    </row>
    <row r="470" spans="1:10" ht="18" customHeight="1" x14ac:dyDescent="0.25">
      <c r="A470" s="463"/>
      <c r="B470" s="459" t="s">
        <v>1459</v>
      </c>
      <c r="C470" s="711" t="s">
        <v>92</v>
      </c>
      <c r="D470" s="712" t="s">
        <v>299</v>
      </c>
      <c r="E470" s="801">
        <v>70411</v>
      </c>
      <c r="F470" s="713" t="s">
        <v>1048</v>
      </c>
      <c r="G470" s="462">
        <v>2500000</v>
      </c>
      <c r="H470" s="462">
        <v>2500000</v>
      </c>
    </row>
    <row r="471" spans="1:10" ht="18" customHeight="1" x14ac:dyDescent="0.25">
      <c r="A471" s="463"/>
      <c r="B471" s="447" t="s">
        <v>1451</v>
      </c>
      <c r="C471" s="711" t="s">
        <v>92</v>
      </c>
      <c r="D471" s="712" t="s">
        <v>299</v>
      </c>
      <c r="E471" s="801">
        <v>70411</v>
      </c>
      <c r="F471" s="713" t="s">
        <v>1048</v>
      </c>
      <c r="G471" s="462">
        <v>1000000</v>
      </c>
      <c r="H471" s="462">
        <v>1000000</v>
      </c>
    </row>
    <row r="472" spans="1:10" ht="18" customHeight="1" x14ac:dyDescent="0.25">
      <c r="A472" s="463"/>
      <c r="B472" s="430" t="s">
        <v>1460</v>
      </c>
      <c r="C472" s="711" t="s">
        <v>92</v>
      </c>
      <c r="D472" s="712" t="s">
        <v>299</v>
      </c>
      <c r="E472" s="801">
        <v>70411</v>
      </c>
      <c r="F472" s="711" t="s">
        <v>1059</v>
      </c>
      <c r="G472" s="462">
        <v>8400000</v>
      </c>
      <c r="H472" s="462">
        <v>8400000</v>
      </c>
    </row>
    <row r="473" spans="1:10" ht="18" customHeight="1" x14ac:dyDescent="0.25">
      <c r="A473" s="463"/>
      <c r="B473" s="447" t="s">
        <v>1461</v>
      </c>
      <c r="C473" s="711" t="s">
        <v>92</v>
      </c>
      <c r="D473" s="712" t="s">
        <v>299</v>
      </c>
      <c r="E473" s="801">
        <v>70411</v>
      </c>
      <c r="F473" s="713" t="s">
        <v>1048</v>
      </c>
      <c r="G473" s="462">
        <v>2000000</v>
      </c>
      <c r="H473" s="462">
        <v>2000000</v>
      </c>
    </row>
    <row r="474" spans="1:10" ht="18" customHeight="1" x14ac:dyDescent="0.25">
      <c r="A474" s="463"/>
      <c r="B474" s="430" t="s">
        <v>1462</v>
      </c>
      <c r="C474" s="711" t="s">
        <v>92</v>
      </c>
      <c r="D474" s="712" t="s">
        <v>299</v>
      </c>
      <c r="E474" s="801">
        <v>70411</v>
      </c>
      <c r="F474" s="713" t="s">
        <v>1048</v>
      </c>
      <c r="G474" s="462">
        <v>20000000</v>
      </c>
      <c r="H474" s="462">
        <v>20000000</v>
      </c>
    </row>
    <row r="475" spans="1:10" ht="18" customHeight="1" x14ac:dyDescent="0.25">
      <c r="A475" s="463"/>
      <c r="B475" s="870" t="s">
        <v>117</v>
      </c>
      <c r="C475" s="705"/>
      <c r="D475" s="705"/>
      <c r="E475" s="870"/>
      <c r="F475" s="870"/>
      <c r="G475" s="473">
        <f>SUM(G464:G474)</f>
        <v>84900000</v>
      </c>
      <c r="H475" s="473">
        <f>SUM(H464:H474)</f>
        <v>84900000</v>
      </c>
    </row>
    <row r="476" spans="1:10" s="433" customFormat="1" ht="21" customHeight="1" x14ac:dyDescent="0.25">
      <c r="A476" s="870"/>
      <c r="B476" s="780" t="s">
        <v>1362</v>
      </c>
      <c r="C476" s="745" t="s">
        <v>92</v>
      </c>
      <c r="D476" s="746" t="s">
        <v>299</v>
      </c>
      <c r="E476" s="791">
        <v>70411</v>
      </c>
      <c r="F476" s="747" t="s">
        <v>1048</v>
      </c>
      <c r="G476" s="451">
        <v>4500000</v>
      </c>
      <c r="H476" s="451">
        <v>4500000</v>
      </c>
      <c r="I476" s="432"/>
      <c r="J476" s="432"/>
    </row>
    <row r="477" spans="1:10" ht="21" customHeight="1" x14ac:dyDescent="0.25">
      <c r="A477" s="463"/>
      <c r="B477" s="436" t="s">
        <v>1073</v>
      </c>
      <c r="C477" s="745" t="s">
        <v>92</v>
      </c>
      <c r="D477" s="746" t="s">
        <v>299</v>
      </c>
      <c r="E477" s="791">
        <v>70411</v>
      </c>
      <c r="F477" s="747" t="s">
        <v>1048</v>
      </c>
      <c r="G477" s="451">
        <v>10200000</v>
      </c>
      <c r="H477" s="451">
        <f>1000000*12</f>
        <v>12000000</v>
      </c>
    </row>
    <row r="478" spans="1:10" ht="21" customHeight="1" x14ac:dyDescent="0.25">
      <c r="A478" s="463"/>
      <c r="B478" s="872" t="s">
        <v>117</v>
      </c>
      <c r="C478" s="748"/>
      <c r="D478" s="749"/>
      <c r="E478" s="794"/>
      <c r="F478" s="750"/>
      <c r="G478" s="761">
        <f>SUM(G476:G477)</f>
        <v>14700000</v>
      </c>
      <c r="H478" s="761">
        <f>SUM(H476:H477)</f>
        <v>16500000</v>
      </c>
    </row>
    <row r="479" spans="1:10" s="433" customFormat="1" ht="21" customHeight="1" x14ac:dyDescent="0.25">
      <c r="A479" s="870"/>
      <c r="B479" s="976" t="s">
        <v>1463</v>
      </c>
      <c r="C479" s="976"/>
      <c r="D479" s="976"/>
      <c r="E479" s="976"/>
      <c r="F479" s="976"/>
      <c r="G479" s="761">
        <f>G475+G478</f>
        <v>99600000</v>
      </c>
      <c r="H479" s="761">
        <f>H475+H478</f>
        <v>101400000</v>
      </c>
      <c r="I479" s="464"/>
      <c r="J479" s="432"/>
    </row>
    <row r="480" spans="1:10" s="433" customFormat="1" ht="65.25" customHeight="1" x14ac:dyDescent="0.25">
      <c r="A480" s="474"/>
      <c r="B480" s="764">
        <v>65</v>
      </c>
      <c r="C480" s="765"/>
      <c r="D480" s="765"/>
      <c r="E480" s="765"/>
      <c r="F480" s="765"/>
      <c r="G480" s="766"/>
      <c r="H480" s="766"/>
      <c r="I480" s="464"/>
      <c r="J480" s="432"/>
    </row>
    <row r="481" spans="1:10" s="455" customFormat="1" ht="34.5" customHeight="1" x14ac:dyDescent="0.25">
      <c r="A481" s="763"/>
      <c r="B481" s="774" t="s">
        <v>1464</v>
      </c>
      <c r="C481" s="776"/>
      <c r="D481" s="776"/>
      <c r="E481" s="775"/>
      <c r="F481" s="775"/>
      <c r="G481" s="775"/>
      <c r="H481" s="775"/>
      <c r="I481" s="454"/>
      <c r="J481" s="454"/>
    </row>
    <row r="482" spans="1:10" s="455" customFormat="1" ht="18" customHeight="1" x14ac:dyDescent="0.25">
      <c r="A482" s="763"/>
      <c r="B482" s="793" t="s">
        <v>1465</v>
      </c>
      <c r="C482" s="745" t="s">
        <v>92</v>
      </c>
      <c r="D482" s="746" t="s">
        <v>941</v>
      </c>
      <c r="E482" s="791">
        <v>70131</v>
      </c>
      <c r="F482" s="747" t="s">
        <v>1048</v>
      </c>
      <c r="G482" s="802">
        <v>22000000</v>
      </c>
      <c r="H482" s="802">
        <v>22000000</v>
      </c>
      <c r="I482" s="454"/>
      <c r="J482" s="454"/>
    </row>
    <row r="483" spans="1:10" s="466" customFormat="1" ht="18" customHeight="1" x14ac:dyDescent="0.2">
      <c r="A483" s="763"/>
      <c r="B483" s="793" t="s">
        <v>1466</v>
      </c>
      <c r="C483" s="745" t="s">
        <v>92</v>
      </c>
      <c r="D483" s="746" t="s">
        <v>941</v>
      </c>
      <c r="E483" s="791">
        <v>70131</v>
      </c>
      <c r="F483" s="747" t="s">
        <v>1048</v>
      </c>
      <c r="G483" s="802">
        <v>6900000</v>
      </c>
      <c r="H483" s="802">
        <f>575000*12</f>
        <v>6900000</v>
      </c>
      <c r="I483" s="465"/>
      <c r="J483" s="465"/>
    </row>
    <row r="484" spans="1:10" s="466" customFormat="1" ht="18" customHeight="1" x14ac:dyDescent="0.25">
      <c r="A484" s="763"/>
      <c r="B484" s="977" t="s">
        <v>1467</v>
      </c>
      <c r="C484" s="977"/>
      <c r="D484" s="977"/>
      <c r="E484" s="977"/>
      <c r="F484" s="977"/>
      <c r="G484" s="803">
        <f>SUM(G482:G483)</f>
        <v>28900000</v>
      </c>
      <c r="H484" s="803">
        <f>SUM(H482:H483)</f>
        <v>28900000</v>
      </c>
      <c r="I484" s="464"/>
      <c r="J484" s="465"/>
    </row>
    <row r="485" spans="1:10" ht="18" customHeight="1" x14ac:dyDescent="0.25">
      <c r="A485" s="463"/>
      <c r="B485" s="752" t="s">
        <v>942</v>
      </c>
      <c r="C485" s="772"/>
      <c r="D485" s="712"/>
      <c r="E485" s="753"/>
      <c r="F485" s="753"/>
      <c r="G485" s="753"/>
      <c r="H485" s="463"/>
    </row>
    <row r="486" spans="1:10" ht="18" customHeight="1" x14ac:dyDescent="0.25">
      <c r="A486" s="463"/>
      <c r="B486" s="430" t="s">
        <v>1468</v>
      </c>
      <c r="C486" s="711" t="s">
        <v>92</v>
      </c>
      <c r="D486" s="712" t="s">
        <v>943</v>
      </c>
      <c r="E486" s="783">
        <v>70131</v>
      </c>
      <c r="F486" s="713" t="s">
        <v>1048</v>
      </c>
      <c r="G486" s="462">
        <v>3500000</v>
      </c>
      <c r="H486" s="462">
        <v>3500000</v>
      </c>
    </row>
    <row r="487" spans="1:10" ht="18" customHeight="1" x14ac:dyDescent="0.25">
      <c r="A487" s="463"/>
      <c r="B487" s="430" t="s">
        <v>1469</v>
      </c>
      <c r="C487" s="711" t="s">
        <v>92</v>
      </c>
      <c r="D487" s="712" t="s">
        <v>943</v>
      </c>
      <c r="E487" s="783">
        <v>70131</v>
      </c>
      <c r="F487" s="713" t="s">
        <v>1048</v>
      </c>
      <c r="G487" s="462">
        <v>5000000</v>
      </c>
      <c r="H487" s="462">
        <v>5000000</v>
      </c>
    </row>
    <row r="488" spans="1:10" ht="18" customHeight="1" x14ac:dyDescent="0.25">
      <c r="A488" s="463"/>
      <c r="B488" s="430" t="s">
        <v>1470</v>
      </c>
      <c r="C488" s="711" t="s">
        <v>92</v>
      </c>
      <c r="D488" s="712" t="s">
        <v>1471</v>
      </c>
      <c r="E488" s="783">
        <v>70131</v>
      </c>
      <c r="F488" s="713" t="s">
        <v>1048</v>
      </c>
      <c r="G488" s="462">
        <v>30000000</v>
      </c>
      <c r="H488" s="462">
        <v>30000000</v>
      </c>
    </row>
    <row r="489" spans="1:10" ht="18" customHeight="1" x14ac:dyDescent="0.25">
      <c r="A489" s="463"/>
      <c r="B489" s="447" t="s">
        <v>1472</v>
      </c>
      <c r="C489" s="711" t="s">
        <v>92</v>
      </c>
      <c r="D489" s="712" t="s">
        <v>1473</v>
      </c>
      <c r="E489" s="783">
        <v>70131</v>
      </c>
      <c r="F489" s="711" t="s">
        <v>1059</v>
      </c>
      <c r="G489" s="462">
        <v>2500000</v>
      </c>
      <c r="H489" s="462">
        <v>2500000</v>
      </c>
    </row>
    <row r="490" spans="1:10" ht="18" customHeight="1" x14ac:dyDescent="0.25">
      <c r="A490" s="463"/>
      <c r="B490" s="447" t="s">
        <v>1474</v>
      </c>
      <c r="C490" s="711" t="s">
        <v>92</v>
      </c>
      <c r="D490" s="712" t="s">
        <v>943</v>
      </c>
      <c r="E490" s="783">
        <v>70131</v>
      </c>
      <c r="F490" s="711" t="s">
        <v>1059</v>
      </c>
      <c r="G490" s="462">
        <v>5000000</v>
      </c>
      <c r="H490" s="462">
        <v>5000000</v>
      </c>
    </row>
    <row r="491" spans="1:10" ht="18" customHeight="1" x14ac:dyDescent="0.25">
      <c r="A491" s="463"/>
      <c r="B491" s="430" t="s">
        <v>1475</v>
      </c>
      <c r="C491" s="711" t="s">
        <v>92</v>
      </c>
      <c r="D491" s="712" t="s">
        <v>943</v>
      </c>
      <c r="E491" s="783">
        <v>70131</v>
      </c>
      <c r="F491" s="711" t="s">
        <v>1059</v>
      </c>
      <c r="G491" s="462">
        <v>15000000</v>
      </c>
      <c r="H491" s="462">
        <v>15000000</v>
      </c>
    </row>
    <row r="492" spans="1:10" ht="18" customHeight="1" x14ac:dyDescent="0.25">
      <c r="A492" s="463"/>
      <c r="B492" s="447" t="s">
        <v>1476</v>
      </c>
      <c r="C492" s="711" t="s">
        <v>92</v>
      </c>
      <c r="D492" s="712" t="s">
        <v>943</v>
      </c>
      <c r="E492" s="783">
        <v>70131</v>
      </c>
      <c r="F492" s="711" t="s">
        <v>1059</v>
      </c>
      <c r="G492" s="462">
        <v>10000000</v>
      </c>
      <c r="H492" s="462">
        <v>10000000</v>
      </c>
    </row>
    <row r="493" spans="1:10" ht="18" customHeight="1" x14ac:dyDescent="0.25">
      <c r="A493" s="463"/>
      <c r="B493" s="430" t="s">
        <v>1477</v>
      </c>
      <c r="C493" s="711" t="s">
        <v>92</v>
      </c>
      <c r="D493" s="712" t="s">
        <v>943</v>
      </c>
      <c r="E493" s="783">
        <v>70131</v>
      </c>
      <c r="F493" s="713" t="s">
        <v>1048</v>
      </c>
      <c r="G493" s="462">
        <v>5000000</v>
      </c>
      <c r="H493" s="462">
        <v>5000000</v>
      </c>
    </row>
    <row r="494" spans="1:10" ht="18" customHeight="1" x14ac:dyDescent="0.25">
      <c r="A494" s="463"/>
      <c r="B494" s="430" t="s">
        <v>1478</v>
      </c>
      <c r="C494" s="711" t="s">
        <v>92</v>
      </c>
      <c r="D494" s="712" t="s">
        <v>943</v>
      </c>
      <c r="E494" s="783">
        <v>70131</v>
      </c>
      <c r="F494" s="713" t="s">
        <v>1048</v>
      </c>
      <c r="G494" s="462">
        <v>20000000</v>
      </c>
      <c r="H494" s="462">
        <v>20000000</v>
      </c>
    </row>
    <row r="495" spans="1:10" ht="18" customHeight="1" x14ac:dyDescent="0.25">
      <c r="A495" s="463"/>
      <c r="B495" s="804" t="s">
        <v>117</v>
      </c>
      <c r="C495" s="711"/>
      <c r="D495" s="712"/>
      <c r="E495" s="777"/>
      <c r="F495" s="777"/>
      <c r="G495" s="452">
        <f>SUM(G486:G494)</f>
        <v>96000000</v>
      </c>
      <c r="H495" s="473">
        <f>SUM(H486:H494)</f>
        <v>96000000</v>
      </c>
    </row>
    <row r="496" spans="1:10" ht="18" customHeight="1" x14ac:dyDescent="0.25">
      <c r="A496" s="463"/>
      <c r="B496" s="436" t="s">
        <v>1479</v>
      </c>
      <c r="C496" s="745" t="s">
        <v>92</v>
      </c>
      <c r="D496" s="746" t="s">
        <v>943</v>
      </c>
      <c r="E496" s="785">
        <v>70131</v>
      </c>
      <c r="F496" s="747" t="s">
        <v>1048</v>
      </c>
      <c r="G496" s="462">
        <v>11880000</v>
      </c>
      <c r="H496" s="462">
        <f>990000*12</f>
        <v>11880000</v>
      </c>
    </row>
    <row r="497" spans="1:10" ht="18" customHeight="1" x14ac:dyDescent="0.25">
      <c r="A497" s="463"/>
      <c r="B497" s="977" t="s">
        <v>1480</v>
      </c>
      <c r="C497" s="977"/>
      <c r="D497" s="977"/>
      <c r="E497" s="977"/>
      <c r="F497" s="977"/>
      <c r="G497" s="452">
        <f>SUM(G495:G496)</f>
        <v>107880000</v>
      </c>
      <c r="H497" s="473">
        <f>SUM(H495:H496)</f>
        <v>107880000</v>
      </c>
      <c r="I497" s="464"/>
    </row>
    <row r="498" spans="1:10" ht="33" customHeight="1" x14ac:dyDescent="0.25">
      <c r="A498" s="463"/>
      <c r="B498" s="752" t="s">
        <v>944</v>
      </c>
      <c r="C498" s="772"/>
      <c r="D498" s="712"/>
      <c r="E498" s="805"/>
      <c r="F498" s="805"/>
      <c r="G498" s="805"/>
      <c r="H498" s="463"/>
    </row>
    <row r="499" spans="1:10" ht="18" customHeight="1" x14ac:dyDescent="0.25">
      <c r="A499" s="463"/>
      <c r="B499" s="430" t="s">
        <v>1481</v>
      </c>
      <c r="C499" s="711" t="s">
        <v>92</v>
      </c>
      <c r="D499" s="712" t="s">
        <v>945</v>
      </c>
      <c r="E499" s="463">
        <v>70111</v>
      </c>
      <c r="F499" s="711" t="s">
        <v>1482</v>
      </c>
      <c r="G499" s="462">
        <v>40000000</v>
      </c>
      <c r="H499" s="462">
        <v>40000000</v>
      </c>
    </row>
    <row r="500" spans="1:10" ht="18" customHeight="1" x14ac:dyDescent="0.25">
      <c r="A500" s="463"/>
      <c r="B500" s="430" t="s">
        <v>1483</v>
      </c>
      <c r="C500" s="711" t="s">
        <v>92</v>
      </c>
      <c r="D500" s="712" t="s">
        <v>945</v>
      </c>
      <c r="E500" s="463">
        <v>70111</v>
      </c>
      <c r="F500" s="713" t="s">
        <v>1048</v>
      </c>
      <c r="G500" s="462">
        <v>2000000</v>
      </c>
      <c r="H500" s="462">
        <v>2000000</v>
      </c>
    </row>
    <row r="501" spans="1:10" ht="18" customHeight="1" x14ac:dyDescent="0.25">
      <c r="A501" s="463"/>
      <c r="B501" s="430" t="s">
        <v>1484</v>
      </c>
      <c r="C501" s="711" t="s">
        <v>92</v>
      </c>
      <c r="D501" s="712" t="s">
        <v>945</v>
      </c>
      <c r="E501" s="463">
        <v>70111</v>
      </c>
      <c r="F501" s="713" t="s">
        <v>1048</v>
      </c>
      <c r="G501" s="462">
        <v>7000000</v>
      </c>
      <c r="H501" s="462">
        <v>7000000</v>
      </c>
    </row>
    <row r="502" spans="1:10" ht="18" customHeight="1" x14ac:dyDescent="0.25">
      <c r="A502" s="463"/>
      <c r="B502" s="430" t="s">
        <v>1485</v>
      </c>
      <c r="C502" s="711" t="s">
        <v>92</v>
      </c>
      <c r="D502" s="712" t="s">
        <v>945</v>
      </c>
      <c r="E502" s="463">
        <v>70111</v>
      </c>
      <c r="F502" s="713" t="s">
        <v>1048</v>
      </c>
      <c r="G502" s="462">
        <v>17000000</v>
      </c>
      <c r="H502" s="462">
        <v>17000000</v>
      </c>
    </row>
    <row r="503" spans="1:10" ht="18" customHeight="1" x14ac:dyDescent="0.25">
      <c r="A503" s="463"/>
      <c r="B503" s="447" t="s">
        <v>1486</v>
      </c>
      <c r="C503" s="711" t="s">
        <v>92</v>
      </c>
      <c r="D503" s="712" t="s">
        <v>945</v>
      </c>
      <c r="E503" s="463">
        <v>70111</v>
      </c>
      <c r="F503" s="713" t="s">
        <v>1048</v>
      </c>
      <c r="G503" s="462">
        <v>5000000</v>
      </c>
      <c r="H503" s="462">
        <v>5000000</v>
      </c>
    </row>
    <row r="504" spans="1:10" ht="18" customHeight="1" x14ac:dyDescent="0.25">
      <c r="A504" s="463"/>
      <c r="B504" s="447" t="s">
        <v>1487</v>
      </c>
      <c r="C504" s="711" t="s">
        <v>92</v>
      </c>
      <c r="D504" s="712" t="s">
        <v>945</v>
      </c>
      <c r="E504" s="463">
        <v>70111</v>
      </c>
      <c r="F504" s="711" t="s">
        <v>1059</v>
      </c>
      <c r="G504" s="462">
        <v>3000000</v>
      </c>
      <c r="H504" s="462">
        <v>3000000</v>
      </c>
    </row>
    <row r="505" spans="1:10" ht="18" customHeight="1" x14ac:dyDescent="0.25">
      <c r="A505" s="463"/>
      <c r="B505" s="430" t="s">
        <v>1488</v>
      </c>
      <c r="C505" s="711" t="s">
        <v>92</v>
      </c>
      <c r="D505" s="712" t="s">
        <v>945</v>
      </c>
      <c r="E505" s="463">
        <v>70111</v>
      </c>
      <c r="F505" s="711" t="s">
        <v>1059</v>
      </c>
      <c r="G505" s="462">
        <v>500000</v>
      </c>
      <c r="H505" s="462">
        <v>500000</v>
      </c>
    </row>
    <row r="506" spans="1:10" ht="18" customHeight="1" x14ac:dyDescent="0.25">
      <c r="A506" s="463"/>
      <c r="B506" s="430" t="s">
        <v>2063</v>
      </c>
      <c r="C506" s="711"/>
      <c r="D506" s="712"/>
      <c r="E506" s="463"/>
      <c r="F506" s="711"/>
      <c r="G506" s="462"/>
      <c r="H506" s="462">
        <v>60000000</v>
      </c>
    </row>
    <row r="507" spans="1:10" ht="18" customHeight="1" x14ac:dyDescent="0.25">
      <c r="A507" s="463"/>
      <c r="B507" s="871" t="s">
        <v>117</v>
      </c>
      <c r="C507" s="731"/>
      <c r="D507" s="705"/>
      <c r="E507" s="870"/>
      <c r="F507" s="731"/>
      <c r="G507" s="452">
        <f>SUM(G499:G505)</f>
        <v>74500000</v>
      </c>
      <c r="H507" s="452">
        <f>SUM(H499:H506)</f>
        <v>134500000</v>
      </c>
    </row>
    <row r="508" spans="1:10" s="433" customFormat="1" ht="18" customHeight="1" x14ac:dyDescent="0.25">
      <c r="A508" s="870"/>
      <c r="B508" s="430" t="s">
        <v>1489</v>
      </c>
      <c r="C508" s="711" t="s">
        <v>92</v>
      </c>
      <c r="D508" s="712" t="s">
        <v>945</v>
      </c>
      <c r="E508" s="463">
        <v>70111</v>
      </c>
      <c r="F508" s="713" t="s">
        <v>1048</v>
      </c>
      <c r="G508" s="462">
        <v>21900000</v>
      </c>
      <c r="H508" s="462">
        <v>21900000</v>
      </c>
      <c r="I508" s="432"/>
      <c r="J508" s="432"/>
    </row>
    <row r="509" spans="1:10" ht="18" customHeight="1" x14ac:dyDescent="0.25">
      <c r="A509" s="463"/>
      <c r="B509" s="978" t="s">
        <v>1490</v>
      </c>
      <c r="C509" s="978"/>
      <c r="D509" s="978"/>
      <c r="E509" s="978"/>
      <c r="F509" s="978"/>
      <c r="G509" s="452">
        <f>SUM(G507:G508)</f>
        <v>96400000</v>
      </c>
      <c r="H509" s="452">
        <f>SUM(H507:H508)</f>
        <v>156400000</v>
      </c>
      <c r="I509" s="450"/>
    </row>
    <row r="510" spans="1:10" s="433" customFormat="1" ht="77.25" customHeight="1" x14ac:dyDescent="0.25">
      <c r="A510" s="474"/>
      <c r="B510" s="467">
        <v>66</v>
      </c>
      <c r="C510" s="806"/>
      <c r="D510" s="806"/>
      <c r="E510" s="474"/>
      <c r="F510" s="474"/>
      <c r="G510" s="786"/>
      <c r="H510" s="786"/>
      <c r="I510" s="432"/>
      <c r="J510" s="432"/>
    </row>
    <row r="511" spans="1:10" s="455" customFormat="1" ht="21" customHeight="1" x14ac:dyDescent="0.25">
      <c r="A511" s="763"/>
      <c r="B511" s="774" t="s">
        <v>946</v>
      </c>
      <c r="C511" s="776"/>
      <c r="D511" s="776"/>
      <c r="E511" s="775"/>
      <c r="F511" s="775"/>
      <c r="G511" s="775"/>
      <c r="H511" s="775"/>
      <c r="I511" s="454"/>
      <c r="J511" s="454"/>
    </row>
    <row r="512" spans="1:10" s="455" customFormat="1" ht="21" customHeight="1" x14ac:dyDescent="0.25">
      <c r="A512" s="763"/>
      <c r="B512" s="436" t="s">
        <v>1491</v>
      </c>
      <c r="C512" s="745" t="s">
        <v>92</v>
      </c>
      <c r="D512" s="746" t="s">
        <v>1492</v>
      </c>
      <c r="E512" s="763">
        <v>70111</v>
      </c>
      <c r="F512" s="747" t="s">
        <v>1048</v>
      </c>
      <c r="G512" s="462">
        <v>6000000</v>
      </c>
      <c r="H512" s="462">
        <f>500000*12</f>
        <v>6000000</v>
      </c>
      <c r="I512" s="458"/>
      <c r="J512" s="454"/>
    </row>
    <row r="513" spans="1:10" s="455" customFormat="1" ht="29.25" customHeight="1" x14ac:dyDescent="0.25">
      <c r="A513" s="763"/>
      <c r="B513" s="807" t="s">
        <v>1493</v>
      </c>
      <c r="C513" s="808"/>
      <c r="D513" s="776"/>
      <c r="E513" s="775"/>
      <c r="F513" s="775"/>
      <c r="G513" s="775"/>
      <c r="H513" s="775"/>
      <c r="I513" s="454"/>
      <c r="J513" s="454"/>
    </row>
    <row r="514" spans="1:10" s="455" customFormat="1" ht="21" customHeight="1" x14ac:dyDescent="0.25">
      <c r="A514" s="763"/>
      <c r="B514" s="436" t="s">
        <v>1494</v>
      </c>
      <c r="C514" s="745" t="s">
        <v>92</v>
      </c>
      <c r="D514" s="746" t="s">
        <v>1495</v>
      </c>
      <c r="E514" s="763">
        <v>70111</v>
      </c>
      <c r="F514" s="745" t="s">
        <v>1059</v>
      </c>
      <c r="G514" s="451">
        <v>36000000</v>
      </c>
      <c r="H514" s="462">
        <v>36000000</v>
      </c>
      <c r="I514" s="458"/>
      <c r="J514" s="454"/>
    </row>
    <row r="515" spans="1:10" s="455" customFormat="1" ht="21" customHeight="1" x14ac:dyDescent="0.4">
      <c r="A515" s="760" t="s">
        <v>1496</v>
      </c>
      <c r="B515" s="809"/>
      <c r="C515" s="810"/>
      <c r="D515" s="810"/>
      <c r="E515" s="810"/>
      <c r="F515" s="810"/>
      <c r="G515" s="811"/>
      <c r="H515" s="811">
        <f>SUM(H25,H26,H29,H34,H35:H37,H48,H49:H54,H57,H60:H71,H117,H121,H124,H127,H128,H208,H220,H224,H227,H228:H229,H232,H233:H234,H237,H240,H249,H271,H309,H320,H336,H352,H364,H366,H368,H370,H381,H386,H390,H392,H394,H400,H449,H462,H479,H484,H497,H509,H512,H514)</f>
        <v>24176253346</v>
      </c>
      <c r="I515" s="468"/>
      <c r="J515" s="458"/>
    </row>
    <row r="516" spans="1:10" s="471" customFormat="1" ht="27.75" customHeight="1" x14ac:dyDescent="0.25">
      <c r="A516" s="763"/>
      <c r="B516" s="706" t="s">
        <v>36</v>
      </c>
      <c r="C516" s="812"/>
      <c r="D516" s="813"/>
      <c r="E516" s="706"/>
      <c r="F516" s="706"/>
      <c r="G516" s="706"/>
      <c r="H516" s="463"/>
      <c r="I516" s="469"/>
      <c r="J516" s="470"/>
    </row>
    <row r="517" spans="1:10" s="456" customFormat="1" ht="30" customHeight="1" x14ac:dyDescent="0.25">
      <c r="A517" s="463"/>
      <c r="B517" s="752" t="s">
        <v>1497</v>
      </c>
      <c r="C517" s="772"/>
      <c r="D517" s="772"/>
      <c r="E517" s="753"/>
      <c r="F517" s="753"/>
      <c r="G517" s="753"/>
      <c r="H517" s="463"/>
      <c r="I517" s="472"/>
      <c r="J517" s="472"/>
    </row>
    <row r="518" spans="1:10" ht="21" customHeight="1" x14ac:dyDescent="0.25">
      <c r="A518" s="463"/>
      <c r="B518" s="447" t="s">
        <v>1498</v>
      </c>
      <c r="C518" s="711" t="s">
        <v>92</v>
      </c>
      <c r="D518" s="712" t="s">
        <v>356</v>
      </c>
      <c r="E518" s="783">
        <v>70620</v>
      </c>
      <c r="F518" s="713" t="s">
        <v>1048</v>
      </c>
      <c r="G518" s="462">
        <v>500000000</v>
      </c>
      <c r="H518" s="462">
        <v>500000000</v>
      </c>
    </row>
    <row r="519" spans="1:10" ht="21" customHeight="1" x14ac:dyDescent="0.25">
      <c r="A519" s="463"/>
      <c r="B519" s="430" t="s">
        <v>1338</v>
      </c>
      <c r="C519" s="711" t="s">
        <v>92</v>
      </c>
      <c r="D519" s="712" t="s">
        <v>356</v>
      </c>
      <c r="E519" s="783">
        <v>70620</v>
      </c>
      <c r="F519" s="711" t="s">
        <v>1059</v>
      </c>
      <c r="G519" s="462">
        <v>1000000</v>
      </c>
      <c r="H519" s="462">
        <v>1000000</v>
      </c>
    </row>
    <row r="520" spans="1:10" ht="21" customHeight="1" x14ac:dyDescent="0.25">
      <c r="A520" s="463"/>
      <c r="B520" s="430" t="s">
        <v>1499</v>
      </c>
      <c r="C520" s="711" t="s">
        <v>92</v>
      </c>
      <c r="D520" s="712" t="s">
        <v>356</v>
      </c>
      <c r="E520" s="783">
        <v>70620</v>
      </c>
      <c r="F520" s="711" t="s">
        <v>1059</v>
      </c>
      <c r="G520" s="462">
        <v>5000000</v>
      </c>
      <c r="H520" s="462">
        <v>5000000</v>
      </c>
    </row>
    <row r="521" spans="1:10" ht="21" customHeight="1" x14ac:dyDescent="0.25">
      <c r="A521" s="463"/>
      <c r="B521" s="447" t="s">
        <v>1500</v>
      </c>
      <c r="C521" s="711" t="s">
        <v>92</v>
      </c>
      <c r="D521" s="712" t="s">
        <v>356</v>
      </c>
      <c r="E521" s="783">
        <v>70620</v>
      </c>
      <c r="F521" s="713" t="s">
        <v>1048</v>
      </c>
      <c r="G521" s="462">
        <v>9687500</v>
      </c>
      <c r="H521" s="462">
        <v>9687500</v>
      </c>
    </row>
    <row r="522" spans="1:10" ht="21" customHeight="1" x14ac:dyDescent="0.25">
      <c r="A522" s="463"/>
      <c r="B522" s="870" t="s">
        <v>117</v>
      </c>
      <c r="C522" s="705"/>
      <c r="D522" s="705"/>
      <c r="E522" s="870"/>
      <c r="F522" s="870"/>
      <c r="G522" s="473">
        <f>SUM(G518:G521)</f>
        <v>515687500</v>
      </c>
      <c r="H522" s="473">
        <f>SUM(H518:H521)</f>
        <v>515687500</v>
      </c>
    </row>
    <row r="523" spans="1:10" ht="21" customHeight="1" x14ac:dyDescent="0.25">
      <c r="A523" s="463"/>
      <c r="B523" s="436" t="s">
        <v>1501</v>
      </c>
      <c r="C523" s="745" t="s">
        <v>92</v>
      </c>
      <c r="D523" s="746" t="s">
        <v>356</v>
      </c>
      <c r="E523" s="785">
        <v>70620</v>
      </c>
      <c r="F523" s="747" t="s">
        <v>1048</v>
      </c>
      <c r="G523" s="462">
        <v>22200000</v>
      </c>
      <c r="H523" s="462">
        <f>(650000+1200000)*12</f>
        <v>22200000</v>
      </c>
    </row>
    <row r="524" spans="1:10" ht="21" customHeight="1" x14ac:dyDescent="0.25">
      <c r="A524" s="463"/>
      <c r="B524" s="436" t="s">
        <v>1502</v>
      </c>
      <c r="C524" s="745" t="s">
        <v>92</v>
      </c>
      <c r="D524" s="746" t="s">
        <v>2277</v>
      </c>
      <c r="E524" s="785">
        <v>70620</v>
      </c>
      <c r="F524" s="747" t="s">
        <v>1048</v>
      </c>
      <c r="G524" s="462">
        <v>17500000</v>
      </c>
      <c r="H524" s="462">
        <f>G524</f>
        <v>17500000</v>
      </c>
    </row>
    <row r="525" spans="1:10" ht="21" customHeight="1" x14ac:dyDescent="0.25">
      <c r="A525" s="463"/>
      <c r="B525" s="870" t="s">
        <v>117</v>
      </c>
      <c r="C525" s="705"/>
      <c r="D525" s="705"/>
      <c r="E525" s="870"/>
      <c r="F525" s="870"/>
      <c r="G525" s="473">
        <f>SUM(G523:G524)</f>
        <v>39700000</v>
      </c>
      <c r="H525" s="473">
        <f>SUM(H523:H524)</f>
        <v>39700000</v>
      </c>
    </row>
    <row r="526" spans="1:10" ht="30" customHeight="1" x14ac:dyDescent="0.25">
      <c r="A526" s="463"/>
      <c r="B526" s="976" t="s">
        <v>1503</v>
      </c>
      <c r="C526" s="976"/>
      <c r="D526" s="976"/>
      <c r="E526" s="976"/>
      <c r="F526" s="976"/>
      <c r="G526" s="473">
        <f>G522+G525</f>
        <v>555387500</v>
      </c>
      <c r="H526" s="473">
        <f>H522+H525</f>
        <v>555387500</v>
      </c>
      <c r="I526" s="450"/>
    </row>
    <row r="527" spans="1:10" ht="28.5" customHeight="1" x14ac:dyDescent="0.25">
      <c r="A527" s="463"/>
      <c r="B527" s="774" t="s">
        <v>1504</v>
      </c>
      <c r="C527" s="772"/>
      <c r="D527" s="712"/>
      <c r="E527" s="775"/>
      <c r="F527" s="775"/>
      <c r="G527" s="775"/>
      <c r="H527" s="775"/>
    </row>
    <row r="528" spans="1:10" ht="21" customHeight="1" x14ac:dyDescent="0.25">
      <c r="A528" s="463"/>
      <c r="B528" s="436" t="s">
        <v>1505</v>
      </c>
      <c r="C528" s="745" t="s">
        <v>92</v>
      </c>
      <c r="D528" s="746" t="s">
        <v>1506</v>
      </c>
      <c r="E528" s="791">
        <v>70411</v>
      </c>
      <c r="F528" s="745" t="s">
        <v>1059</v>
      </c>
      <c r="G528" s="451">
        <v>20000000</v>
      </c>
      <c r="H528" s="451">
        <v>20000000</v>
      </c>
    </row>
    <row r="529" spans="1:8" ht="21" customHeight="1" x14ac:dyDescent="0.25">
      <c r="A529" s="463"/>
      <c r="B529" s="436" t="s">
        <v>1507</v>
      </c>
      <c r="C529" s="745" t="s">
        <v>92</v>
      </c>
      <c r="D529" s="746" t="s">
        <v>1506</v>
      </c>
      <c r="E529" s="791">
        <v>70411</v>
      </c>
      <c r="F529" s="747" t="s">
        <v>1048</v>
      </c>
      <c r="G529" s="451">
        <v>900000</v>
      </c>
      <c r="H529" s="451">
        <v>900000</v>
      </c>
    </row>
    <row r="530" spans="1:8" ht="21" customHeight="1" x14ac:dyDescent="0.25">
      <c r="A530" s="463"/>
      <c r="B530" s="976" t="s">
        <v>1508</v>
      </c>
      <c r="C530" s="976"/>
      <c r="D530" s="976"/>
      <c r="E530" s="976"/>
      <c r="F530" s="976"/>
      <c r="G530" s="473">
        <f>SUM(G528:G529)</f>
        <v>20900000</v>
      </c>
      <c r="H530" s="473">
        <f>SUM(H528:H529)</f>
        <v>20900000</v>
      </c>
    </row>
    <row r="531" spans="1:8" ht="33" customHeight="1" x14ac:dyDescent="0.25">
      <c r="A531" s="463"/>
      <c r="B531" s="774" t="s">
        <v>1509</v>
      </c>
      <c r="C531" s="772"/>
      <c r="D531" s="712"/>
      <c r="E531" s="775"/>
      <c r="F531" s="775"/>
      <c r="G531" s="775"/>
      <c r="H531" s="775"/>
    </row>
    <row r="532" spans="1:8" ht="21" customHeight="1" x14ac:dyDescent="0.25">
      <c r="A532" s="463"/>
      <c r="B532" s="436" t="s">
        <v>1510</v>
      </c>
      <c r="C532" s="745" t="s">
        <v>92</v>
      </c>
      <c r="D532" s="746" t="s">
        <v>369</v>
      </c>
      <c r="E532" s="785">
        <v>70620</v>
      </c>
      <c r="F532" s="747" t="s">
        <v>1048</v>
      </c>
      <c r="G532" s="462">
        <v>2000000</v>
      </c>
      <c r="H532" s="462">
        <v>2000000</v>
      </c>
    </row>
    <row r="533" spans="1:8" ht="21" customHeight="1" x14ac:dyDescent="0.25">
      <c r="A533" s="463"/>
      <c r="B533" s="436" t="s">
        <v>1511</v>
      </c>
      <c r="C533" s="745" t="s">
        <v>92</v>
      </c>
      <c r="D533" s="746" t="s">
        <v>369</v>
      </c>
      <c r="E533" s="785">
        <v>70620</v>
      </c>
      <c r="F533" s="747" t="s">
        <v>1048</v>
      </c>
      <c r="G533" s="462">
        <v>2700000</v>
      </c>
      <c r="H533" s="462">
        <v>2700000</v>
      </c>
    </row>
    <row r="534" spans="1:8" ht="21" customHeight="1" x14ac:dyDescent="0.25">
      <c r="A534" s="463"/>
      <c r="B534" s="978" t="s">
        <v>1512</v>
      </c>
      <c r="C534" s="978"/>
      <c r="D534" s="978"/>
      <c r="E534" s="978"/>
      <c r="F534" s="978"/>
      <c r="G534" s="452">
        <f>SUM(G532:G533)</f>
        <v>4700000</v>
      </c>
      <c r="H534" s="452">
        <f>SUM(H532:H533)</f>
        <v>4700000</v>
      </c>
    </row>
    <row r="535" spans="1:8" ht="67.5" customHeight="1" x14ac:dyDescent="0.25">
      <c r="A535" s="756"/>
      <c r="B535" s="467">
        <v>67</v>
      </c>
      <c r="C535" s="474"/>
      <c r="D535" s="474"/>
      <c r="E535" s="474"/>
      <c r="F535" s="474"/>
      <c r="G535" s="786"/>
      <c r="H535" s="786"/>
    </row>
    <row r="536" spans="1:8" ht="37.5" customHeight="1" x14ac:dyDescent="0.25">
      <c r="A536" s="463"/>
      <c r="B536" s="752" t="s">
        <v>1513</v>
      </c>
      <c r="C536" s="772"/>
      <c r="D536" s="712"/>
      <c r="E536" s="753"/>
      <c r="F536" s="753"/>
      <c r="G536" s="753"/>
      <c r="H536" s="463"/>
    </row>
    <row r="537" spans="1:8" ht="21" customHeight="1" x14ac:dyDescent="0.25">
      <c r="A537" s="463"/>
      <c r="B537" s="447" t="s">
        <v>1514</v>
      </c>
      <c r="C537" s="711" t="s">
        <v>92</v>
      </c>
      <c r="D537" s="712" t="s">
        <v>243</v>
      </c>
      <c r="E537" s="783">
        <v>70820</v>
      </c>
      <c r="F537" s="711" t="s">
        <v>1515</v>
      </c>
      <c r="G537" s="462">
        <v>1000000</v>
      </c>
      <c r="H537" s="462">
        <v>1000000</v>
      </c>
    </row>
    <row r="538" spans="1:8" ht="21" customHeight="1" x14ac:dyDescent="0.25">
      <c r="A538" s="463"/>
      <c r="B538" s="430" t="s">
        <v>1516</v>
      </c>
      <c r="C538" s="711" t="s">
        <v>92</v>
      </c>
      <c r="D538" s="712" t="s">
        <v>243</v>
      </c>
      <c r="E538" s="783">
        <v>70820</v>
      </c>
      <c r="F538" s="711" t="s">
        <v>1515</v>
      </c>
      <c r="G538" s="462">
        <v>1000000</v>
      </c>
      <c r="H538" s="462">
        <v>1000000</v>
      </c>
    </row>
    <row r="539" spans="1:8" ht="21" customHeight="1" x14ac:dyDescent="0.25">
      <c r="A539" s="463"/>
      <c r="B539" s="447" t="s">
        <v>1517</v>
      </c>
      <c r="C539" s="711" t="s">
        <v>92</v>
      </c>
      <c r="D539" s="712" t="s">
        <v>243</v>
      </c>
      <c r="E539" s="783">
        <v>70820</v>
      </c>
      <c r="F539" s="711" t="s">
        <v>1515</v>
      </c>
      <c r="G539" s="462">
        <v>10000000</v>
      </c>
      <c r="H539" s="462">
        <v>10000000</v>
      </c>
    </row>
    <row r="540" spans="1:8" ht="21" customHeight="1" x14ac:dyDescent="0.25">
      <c r="A540" s="463"/>
      <c r="B540" s="430" t="s">
        <v>1518</v>
      </c>
      <c r="C540" s="711" t="s">
        <v>92</v>
      </c>
      <c r="D540" s="712" t="s">
        <v>243</v>
      </c>
      <c r="E540" s="783">
        <v>70820</v>
      </c>
      <c r="F540" s="711" t="s">
        <v>1515</v>
      </c>
      <c r="G540" s="462">
        <v>5000000</v>
      </c>
      <c r="H540" s="462">
        <v>5000000</v>
      </c>
    </row>
    <row r="541" spans="1:8" ht="21" customHeight="1" x14ac:dyDescent="0.25">
      <c r="A541" s="463"/>
      <c r="B541" s="447" t="s">
        <v>1519</v>
      </c>
      <c r="C541" s="712"/>
      <c r="D541" s="712" t="s">
        <v>243</v>
      </c>
      <c r="E541" s="783">
        <v>70820</v>
      </c>
      <c r="F541" s="711" t="s">
        <v>1515</v>
      </c>
      <c r="G541" s="462">
        <v>20000000</v>
      </c>
      <c r="H541" s="462">
        <v>20000000</v>
      </c>
    </row>
    <row r="542" spans="1:8" ht="21" customHeight="1" x14ac:dyDescent="0.25">
      <c r="A542" s="463"/>
      <c r="B542" s="870" t="s">
        <v>117</v>
      </c>
      <c r="C542" s="745"/>
      <c r="D542" s="712"/>
      <c r="E542" s="463"/>
      <c r="F542" s="463"/>
      <c r="G542" s="473">
        <f>SUM(G537:G541)</f>
        <v>37000000</v>
      </c>
      <c r="H542" s="473">
        <f>SUM(H537:H541)</f>
        <v>37000000</v>
      </c>
    </row>
    <row r="543" spans="1:8" ht="21" customHeight="1" x14ac:dyDescent="0.25">
      <c r="A543" s="463"/>
      <c r="B543" s="436" t="s">
        <v>1520</v>
      </c>
      <c r="C543" s="711" t="s">
        <v>92</v>
      </c>
      <c r="D543" s="746" t="s">
        <v>243</v>
      </c>
      <c r="E543" s="785">
        <v>70820</v>
      </c>
      <c r="F543" s="747" t="s">
        <v>1048</v>
      </c>
      <c r="G543" s="462">
        <v>13800000</v>
      </c>
      <c r="H543" s="462">
        <f>1150000*12</f>
        <v>13800000</v>
      </c>
    </row>
    <row r="544" spans="1:8" ht="21" customHeight="1" x14ac:dyDescent="0.25">
      <c r="A544" s="463"/>
      <c r="B544" s="978" t="s">
        <v>1521</v>
      </c>
      <c r="C544" s="978"/>
      <c r="D544" s="978"/>
      <c r="E544" s="978"/>
      <c r="F544" s="978"/>
      <c r="G544" s="473">
        <f>SUM(G542:G543)</f>
        <v>50800000</v>
      </c>
      <c r="H544" s="473">
        <f>SUM(H542:H543)</f>
        <v>50800000</v>
      </c>
    </row>
    <row r="545" spans="1:8" ht="33" customHeight="1" x14ac:dyDescent="0.25">
      <c r="A545" s="463"/>
      <c r="B545" s="774" t="s">
        <v>952</v>
      </c>
      <c r="C545" s="772"/>
      <c r="D545" s="712"/>
      <c r="E545" s="775"/>
      <c r="F545" s="775"/>
      <c r="G545" s="775"/>
      <c r="H545" s="775"/>
    </row>
    <row r="546" spans="1:8" ht="21" customHeight="1" x14ac:dyDescent="0.25">
      <c r="A546" s="463"/>
      <c r="B546" s="436" t="s">
        <v>1522</v>
      </c>
      <c r="C546" s="745" t="s">
        <v>92</v>
      </c>
      <c r="D546" s="746" t="s">
        <v>1523</v>
      </c>
      <c r="E546" s="785">
        <v>70820</v>
      </c>
      <c r="F546" s="747" t="s">
        <v>1048</v>
      </c>
      <c r="G546" s="462">
        <v>6000000</v>
      </c>
      <c r="H546" s="462">
        <v>6000000</v>
      </c>
    </row>
    <row r="547" spans="1:8" ht="21" customHeight="1" x14ac:dyDescent="0.25">
      <c r="A547" s="463"/>
      <c r="B547" s="436" t="s">
        <v>2060</v>
      </c>
      <c r="C547" s="745"/>
      <c r="D547" s="746"/>
      <c r="E547" s="785"/>
      <c r="F547" s="747"/>
      <c r="G547" s="453"/>
      <c r="H547" s="462">
        <v>10000000</v>
      </c>
    </row>
    <row r="548" spans="1:8" ht="21" customHeight="1" x14ac:dyDescent="0.25">
      <c r="A548" s="463"/>
      <c r="B548" s="436" t="s">
        <v>2061</v>
      </c>
      <c r="C548" s="745"/>
      <c r="D548" s="746"/>
      <c r="E548" s="785"/>
      <c r="F548" s="747"/>
      <c r="G548" s="453"/>
      <c r="H548" s="462">
        <v>8000000</v>
      </c>
    </row>
    <row r="549" spans="1:8" ht="21" customHeight="1" x14ac:dyDescent="0.25">
      <c r="A549" s="463"/>
      <c r="B549" s="872" t="s">
        <v>2062</v>
      </c>
      <c r="C549" s="748"/>
      <c r="D549" s="749"/>
      <c r="E549" s="817"/>
      <c r="F549" s="750"/>
      <c r="G549" s="866"/>
      <c r="H549" s="452">
        <f>SUM(H546:H548)</f>
        <v>24000000</v>
      </c>
    </row>
    <row r="550" spans="1:8" ht="28.5" customHeight="1" x14ac:dyDescent="0.25">
      <c r="A550" s="463"/>
      <c r="B550" s="752" t="s">
        <v>951</v>
      </c>
      <c r="C550" s="772"/>
      <c r="D550" s="712"/>
      <c r="E550" s="753"/>
      <c r="F550" s="753"/>
      <c r="G550" s="753"/>
      <c r="H550" s="463"/>
    </row>
    <row r="551" spans="1:8" ht="21" customHeight="1" x14ac:dyDescent="0.25">
      <c r="A551" s="463"/>
      <c r="B551" s="430" t="s">
        <v>1282</v>
      </c>
      <c r="C551" s="711" t="s">
        <v>92</v>
      </c>
      <c r="D551" s="712" t="s">
        <v>1524</v>
      </c>
      <c r="E551" s="783">
        <v>70473</v>
      </c>
      <c r="F551" s="713" t="s">
        <v>1048</v>
      </c>
      <c r="G551" s="462">
        <v>840000</v>
      </c>
      <c r="H551" s="462">
        <v>840000</v>
      </c>
    </row>
    <row r="552" spans="1:8" ht="21" customHeight="1" x14ac:dyDescent="0.25">
      <c r="A552" s="463"/>
      <c r="B552" s="430" t="s">
        <v>1129</v>
      </c>
      <c r="C552" s="711" t="s">
        <v>92</v>
      </c>
      <c r="D552" s="712" t="s">
        <v>1524</v>
      </c>
      <c r="E552" s="783">
        <v>70473</v>
      </c>
      <c r="F552" s="713" t="s">
        <v>1048</v>
      </c>
      <c r="G552" s="462">
        <v>120000</v>
      </c>
      <c r="H552" s="462">
        <v>120000</v>
      </c>
    </row>
    <row r="553" spans="1:8" ht="21" customHeight="1" x14ac:dyDescent="0.25">
      <c r="A553" s="463"/>
      <c r="B553" s="430" t="s">
        <v>1144</v>
      </c>
      <c r="C553" s="711" t="s">
        <v>92</v>
      </c>
      <c r="D553" s="712" t="s">
        <v>1524</v>
      </c>
      <c r="E553" s="783">
        <v>70473</v>
      </c>
      <c r="F553" s="713" t="s">
        <v>1048</v>
      </c>
      <c r="G553" s="462">
        <v>540000</v>
      </c>
      <c r="H553" s="462">
        <v>540000</v>
      </c>
    </row>
    <row r="554" spans="1:8" ht="21" customHeight="1" x14ac:dyDescent="0.25">
      <c r="A554" s="463"/>
      <c r="B554" s="430" t="s">
        <v>1150</v>
      </c>
      <c r="C554" s="711" t="s">
        <v>92</v>
      </c>
      <c r="D554" s="712" t="s">
        <v>1524</v>
      </c>
      <c r="E554" s="783">
        <v>70473</v>
      </c>
      <c r="F554" s="713" t="s">
        <v>1048</v>
      </c>
      <c r="G554" s="462">
        <v>288000</v>
      </c>
      <c r="H554" s="462">
        <v>288000</v>
      </c>
    </row>
    <row r="555" spans="1:8" ht="21" customHeight="1" x14ac:dyDescent="0.25">
      <c r="A555" s="463"/>
      <c r="B555" s="430" t="s">
        <v>1525</v>
      </c>
      <c r="C555" s="711" t="s">
        <v>92</v>
      </c>
      <c r="D555" s="712" t="s">
        <v>1524</v>
      </c>
      <c r="E555" s="783">
        <v>70473</v>
      </c>
      <c r="F555" s="713" t="s">
        <v>1048</v>
      </c>
      <c r="G555" s="462">
        <v>120000</v>
      </c>
      <c r="H555" s="462">
        <v>120000</v>
      </c>
    </row>
    <row r="556" spans="1:8" ht="21" customHeight="1" x14ac:dyDescent="0.25">
      <c r="A556" s="463"/>
      <c r="B556" s="430" t="s">
        <v>1526</v>
      </c>
      <c r="C556" s="711" t="s">
        <v>92</v>
      </c>
      <c r="D556" s="712" t="s">
        <v>1524</v>
      </c>
      <c r="E556" s="783">
        <v>70473</v>
      </c>
      <c r="F556" s="713" t="s">
        <v>1048</v>
      </c>
      <c r="G556" s="462">
        <v>188000</v>
      </c>
      <c r="H556" s="462">
        <v>188000</v>
      </c>
    </row>
    <row r="557" spans="1:8" ht="21" customHeight="1" x14ac:dyDescent="0.25">
      <c r="A557" s="463"/>
      <c r="B557" s="430" t="s">
        <v>1160</v>
      </c>
      <c r="C557" s="711" t="s">
        <v>92</v>
      </c>
      <c r="D557" s="712" t="s">
        <v>1524</v>
      </c>
      <c r="E557" s="783">
        <v>70473</v>
      </c>
      <c r="F557" s="713" t="s">
        <v>1048</v>
      </c>
      <c r="G557" s="462">
        <v>904000</v>
      </c>
      <c r="H557" s="462">
        <v>904000</v>
      </c>
    </row>
    <row r="558" spans="1:8" ht="21" customHeight="1" x14ac:dyDescent="0.25">
      <c r="A558" s="463"/>
      <c r="B558" s="430" t="s">
        <v>1527</v>
      </c>
      <c r="C558" s="711" t="s">
        <v>92</v>
      </c>
      <c r="D558" s="712" t="s">
        <v>1524</v>
      </c>
      <c r="E558" s="783">
        <v>70473</v>
      </c>
      <c r="F558" s="711" t="s">
        <v>1528</v>
      </c>
      <c r="G558" s="462">
        <v>10325000</v>
      </c>
      <c r="H558" s="462">
        <v>10325000</v>
      </c>
    </row>
    <row r="559" spans="1:8" ht="21" customHeight="1" x14ac:dyDescent="0.25">
      <c r="A559" s="463"/>
      <c r="B559" s="430" t="s">
        <v>1529</v>
      </c>
      <c r="C559" s="711" t="s">
        <v>92</v>
      </c>
      <c r="D559" s="712" t="s">
        <v>1524</v>
      </c>
      <c r="E559" s="783">
        <v>70473</v>
      </c>
      <c r="F559" s="711" t="s">
        <v>1528</v>
      </c>
      <c r="G559" s="462">
        <v>7350000</v>
      </c>
      <c r="H559" s="462">
        <v>7350000</v>
      </c>
    </row>
    <row r="560" spans="1:8" ht="21" customHeight="1" x14ac:dyDescent="0.25">
      <c r="A560" s="463"/>
      <c r="B560" s="430" t="s">
        <v>1530</v>
      </c>
      <c r="C560" s="712"/>
      <c r="D560" s="712" t="s">
        <v>1524</v>
      </c>
      <c r="E560" s="783">
        <v>70473</v>
      </c>
      <c r="F560" s="711" t="s">
        <v>1528</v>
      </c>
      <c r="G560" s="462">
        <v>7300000</v>
      </c>
      <c r="H560" s="462">
        <v>7300000</v>
      </c>
    </row>
    <row r="561" spans="1:8" ht="21" customHeight="1" x14ac:dyDescent="0.25">
      <c r="A561" s="463"/>
      <c r="B561" s="978" t="s">
        <v>1531</v>
      </c>
      <c r="C561" s="978"/>
      <c r="D561" s="978"/>
      <c r="E561" s="978"/>
      <c r="F561" s="978"/>
      <c r="G561" s="473">
        <f>SUM(G551:G560)</f>
        <v>27975000</v>
      </c>
      <c r="H561" s="489">
        <f>SUM(H551:H560)</f>
        <v>27975000</v>
      </c>
    </row>
    <row r="562" spans="1:8" ht="55.5" customHeight="1" x14ac:dyDescent="0.25">
      <c r="A562" s="756"/>
      <c r="B562" s="467">
        <v>68</v>
      </c>
      <c r="C562" s="474"/>
      <c r="D562" s="474"/>
      <c r="E562" s="474"/>
      <c r="F562" s="474"/>
      <c r="G562" s="800"/>
      <c r="H562" s="814"/>
    </row>
    <row r="563" spans="1:8" ht="28.5" customHeight="1" x14ac:dyDescent="0.25">
      <c r="A563" s="463"/>
      <c r="B563" s="752" t="s">
        <v>1532</v>
      </c>
      <c r="C563" s="772"/>
      <c r="D563" s="712"/>
      <c r="E563" s="753"/>
      <c r="F563" s="753"/>
      <c r="G563" s="753"/>
      <c r="H563" s="463"/>
    </row>
    <row r="564" spans="1:8" ht="18" customHeight="1" x14ac:dyDescent="0.25">
      <c r="A564" s="463"/>
      <c r="B564" s="447" t="s">
        <v>1533</v>
      </c>
      <c r="C564" s="711" t="s">
        <v>92</v>
      </c>
      <c r="D564" s="712" t="s">
        <v>160</v>
      </c>
      <c r="E564" s="801">
        <v>70421</v>
      </c>
      <c r="F564" s="711" t="s">
        <v>1059</v>
      </c>
      <c r="G564" s="462">
        <v>2000000</v>
      </c>
      <c r="H564" s="462">
        <v>2000000</v>
      </c>
    </row>
    <row r="565" spans="1:8" ht="18" customHeight="1" x14ac:dyDescent="0.25">
      <c r="A565" s="463"/>
      <c r="B565" s="447" t="s">
        <v>1534</v>
      </c>
      <c r="C565" s="711" t="s">
        <v>92</v>
      </c>
      <c r="D565" s="712" t="s">
        <v>160</v>
      </c>
      <c r="E565" s="801">
        <v>70421</v>
      </c>
      <c r="F565" s="711" t="s">
        <v>1059</v>
      </c>
      <c r="G565" s="462">
        <v>1000000</v>
      </c>
      <c r="H565" s="462">
        <v>1000000</v>
      </c>
    </row>
    <row r="566" spans="1:8" ht="18" customHeight="1" x14ac:dyDescent="0.25">
      <c r="A566" s="463"/>
      <c r="B566" s="447" t="s">
        <v>1535</v>
      </c>
      <c r="C566" s="711" t="s">
        <v>92</v>
      </c>
      <c r="D566" s="712" t="s">
        <v>160</v>
      </c>
      <c r="E566" s="801">
        <v>70421</v>
      </c>
      <c r="F566" s="713" t="s">
        <v>1048</v>
      </c>
      <c r="G566" s="462">
        <v>2500000</v>
      </c>
      <c r="H566" s="462">
        <v>2500000</v>
      </c>
    </row>
    <row r="567" spans="1:8" ht="18" customHeight="1" x14ac:dyDescent="0.25">
      <c r="A567" s="463"/>
      <c r="B567" s="430" t="s">
        <v>1536</v>
      </c>
      <c r="C567" s="711" t="s">
        <v>92</v>
      </c>
      <c r="D567" s="712" t="s">
        <v>160</v>
      </c>
      <c r="E567" s="801">
        <v>70421</v>
      </c>
      <c r="F567" s="711" t="s">
        <v>1059</v>
      </c>
      <c r="G567" s="462">
        <v>500000</v>
      </c>
      <c r="H567" s="462">
        <v>500000</v>
      </c>
    </row>
    <row r="568" spans="1:8" ht="18" customHeight="1" x14ac:dyDescent="0.25">
      <c r="A568" s="463"/>
      <c r="B568" s="430" t="s">
        <v>1537</v>
      </c>
      <c r="C568" s="711" t="s">
        <v>92</v>
      </c>
      <c r="D568" s="712" t="s">
        <v>160</v>
      </c>
      <c r="E568" s="801">
        <v>70421</v>
      </c>
      <c r="F568" s="713" t="s">
        <v>1048</v>
      </c>
      <c r="G568" s="462">
        <v>1000000</v>
      </c>
      <c r="H568" s="462">
        <v>1000000</v>
      </c>
    </row>
    <row r="569" spans="1:8" ht="18" customHeight="1" x14ac:dyDescent="0.25">
      <c r="A569" s="463"/>
      <c r="B569" s="447" t="s">
        <v>1538</v>
      </c>
      <c r="C569" s="711" t="s">
        <v>92</v>
      </c>
      <c r="D569" s="712" t="s">
        <v>160</v>
      </c>
      <c r="E569" s="801">
        <v>70421</v>
      </c>
      <c r="F569" s="713" t="s">
        <v>1048</v>
      </c>
      <c r="G569" s="462">
        <v>500000</v>
      </c>
      <c r="H569" s="462">
        <v>500000</v>
      </c>
    </row>
    <row r="570" spans="1:8" ht="18" customHeight="1" x14ac:dyDescent="0.25">
      <c r="A570" s="463"/>
      <c r="B570" s="430" t="s">
        <v>1539</v>
      </c>
      <c r="C570" s="711" t="s">
        <v>92</v>
      </c>
      <c r="D570" s="712" t="s">
        <v>160</v>
      </c>
      <c r="E570" s="801">
        <v>70421</v>
      </c>
      <c r="F570" s="713" t="s">
        <v>1048</v>
      </c>
      <c r="G570" s="462">
        <v>500000</v>
      </c>
      <c r="H570" s="462">
        <v>500000</v>
      </c>
    </row>
    <row r="571" spans="1:8" ht="18" customHeight="1" x14ac:dyDescent="0.25">
      <c r="A571" s="463"/>
      <c r="B571" s="430" t="s">
        <v>1540</v>
      </c>
      <c r="C571" s="711" t="s">
        <v>92</v>
      </c>
      <c r="D571" s="712" t="s">
        <v>160</v>
      </c>
      <c r="E571" s="801">
        <v>70421</v>
      </c>
      <c r="F571" s="713" t="s">
        <v>1048</v>
      </c>
      <c r="G571" s="462">
        <v>500000</v>
      </c>
      <c r="H571" s="462">
        <v>500000</v>
      </c>
    </row>
    <row r="572" spans="1:8" ht="18" customHeight="1" x14ac:dyDescent="0.25">
      <c r="A572" s="463"/>
      <c r="B572" s="430" t="s">
        <v>1541</v>
      </c>
      <c r="C572" s="711" t="s">
        <v>92</v>
      </c>
      <c r="D572" s="712" t="s">
        <v>160</v>
      </c>
      <c r="E572" s="801">
        <v>70421</v>
      </c>
      <c r="F572" s="713" t="s">
        <v>1048</v>
      </c>
      <c r="G572" s="462">
        <v>500000</v>
      </c>
      <c r="H572" s="462">
        <v>500000</v>
      </c>
    </row>
    <row r="573" spans="1:8" ht="18" customHeight="1" x14ac:dyDescent="0.25">
      <c r="A573" s="463"/>
      <c r="B573" s="870" t="s">
        <v>117</v>
      </c>
      <c r="C573" s="745" t="s">
        <v>92</v>
      </c>
      <c r="D573" s="705"/>
      <c r="E573" s="870"/>
      <c r="F573" s="870"/>
      <c r="G573" s="473">
        <f>SUM(G564:G572)</f>
        <v>9000000</v>
      </c>
      <c r="H573" s="473">
        <f>SUM(H564:H572)</f>
        <v>9000000</v>
      </c>
    </row>
    <row r="574" spans="1:8" ht="18" customHeight="1" x14ac:dyDescent="0.25">
      <c r="A574" s="463"/>
      <c r="B574" s="436" t="s">
        <v>1542</v>
      </c>
      <c r="C574" s="705"/>
      <c r="D574" s="746" t="s">
        <v>160</v>
      </c>
      <c r="E574" s="791">
        <v>70421</v>
      </c>
      <c r="F574" s="747" t="s">
        <v>1048</v>
      </c>
      <c r="G574" s="761">
        <v>13800000</v>
      </c>
      <c r="H574" s="761">
        <f>1150000*12</f>
        <v>13800000</v>
      </c>
    </row>
    <row r="575" spans="1:8" ht="18" customHeight="1" x14ac:dyDescent="0.25">
      <c r="A575" s="463"/>
      <c r="B575" s="978" t="s">
        <v>1543</v>
      </c>
      <c r="C575" s="978"/>
      <c r="D575" s="978"/>
      <c r="E575" s="978"/>
      <c r="F575" s="978"/>
      <c r="G575" s="473">
        <f>SUM(G573:G574)</f>
        <v>22800000</v>
      </c>
      <c r="H575" s="473">
        <f>SUM(H573:H574)</f>
        <v>22800000</v>
      </c>
    </row>
    <row r="576" spans="1:8" ht="30" customHeight="1" x14ac:dyDescent="0.25">
      <c r="A576" s="463"/>
      <c r="B576" s="774" t="s">
        <v>1544</v>
      </c>
      <c r="C576" s="772"/>
      <c r="D576" s="712"/>
      <c r="E576" s="775"/>
      <c r="F576" s="775"/>
      <c r="G576" s="775"/>
      <c r="H576" s="775"/>
    </row>
    <row r="577" spans="1:10" s="455" customFormat="1" ht="18" customHeight="1" x14ac:dyDescent="0.25">
      <c r="A577" s="763"/>
      <c r="B577" s="436" t="s">
        <v>1545</v>
      </c>
      <c r="C577" s="745" t="s">
        <v>92</v>
      </c>
      <c r="D577" s="746" t="s">
        <v>1546</v>
      </c>
      <c r="E577" s="791" t="s">
        <v>1547</v>
      </c>
      <c r="F577" s="747" t="s">
        <v>1048</v>
      </c>
      <c r="G577" s="462">
        <v>3600000</v>
      </c>
      <c r="H577" s="462">
        <v>3600000</v>
      </c>
      <c r="I577" s="454"/>
      <c r="J577" s="454"/>
    </row>
    <row r="578" spans="1:10" s="455" customFormat="1" ht="30" customHeight="1" x14ac:dyDescent="0.25">
      <c r="A578" s="763"/>
      <c r="B578" s="774" t="s">
        <v>1548</v>
      </c>
      <c r="C578" s="776"/>
      <c r="D578" s="776"/>
      <c r="E578" s="775"/>
      <c r="F578" s="775"/>
      <c r="G578" s="775"/>
      <c r="H578" s="775"/>
      <c r="I578" s="454"/>
      <c r="J578" s="454"/>
    </row>
    <row r="579" spans="1:10" s="455" customFormat="1" ht="18" customHeight="1" x14ac:dyDescent="0.25">
      <c r="A579" s="763"/>
      <c r="B579" s="436" t="s">
        <v>1549</v>
      </c>
      <c r="C579" s="745" t="s">
        <v>92</v>
      </c>
      <c r="D579" s="746" t="s">
        <v>1550</v>
      </c>
      <c r="E579" s="791">
        <v>70421</v>
      </c>
      <c r="F579" s="747" t="s">
        <v>1048</v>
      </c>
      <c r="G579" s="462">
        <v>1200000</v>
      </c>
      <c r="H579" s="462">
        <v>1200000</v>
      </c>
      <c r="I579" s="454"/>
      <c r="J579" s="454"/>
    </row>
    <row r="580" spans="1:10" ht="30" customHeight="1" x14ac:dyDescent="0.25">
      <c r="A580" s="463"/>
      <c r="B580" s="774" t="s">
        <v>1551</v>
      </c>
      <c r="C580" s="772"/>
      <c r="D580" s="712"/>
      <c r="E580" s="775"/>
      <c r="F580" s="775"/>
      <c r="G580" s="775"/>
      <c r="H580" s="775"/>
    </row>
    <row r="581" spans="1:10" s="455" customFormat="1" ht="18" customHeight="1" x14ac:dyDescent="0.25">
      <c r="A581" s="763"/>
      <c r="B581" s="436" t="s">
        <v>1552</v>
      </c>
      <c r="C581" s="745" t="s">
        <v>92</v>
      </c>
      <c r="D581" s="746" t="s">
        <v>1553</v>
      </c>
      <c r="E581" s="791">
        <v>70421</v>
      </c>
      <c r="F581" s="747" t="s">
        <v>1048</v>
      </c>
      <c r="G581" s="462">
        <v>1200000</v>
      </c>
      <c r="H581" s="462">
        <v>1200000</v>
      </c>
      <c r="I581" s="454"/>
      <c r="J581" s="454"/>
    </row>
    <row r="582" spans="1:10" s="455" customFormat="1" ht="30" customHeight="1" x14ac:dyDescent="0.25">
      <c r="A582" s="763"/>
      <c r="B582" s="774" t="s">
        <v>955</v>
      </c>
      <c r="C582" s="776"/>
      <c r="D582" s="776"/>
      <c r="E582" s="775"/>
      <c r="F582" s="775"/>
      <c r="G582" s="775"/>
      <c r="H582" s="775"/>
      <c r="I582" s="454"/>
      <c r="J582" s="454"/>
    </row>
    <row r="583" spans="1:10" s="455" customFormat="1" ht="18" customHeight="1" x14ac:dyDescent="0.25">
      <c r="A583" s="763"/>
      <c r="B583" s="436" t="s">
        <v>1554</v>
      </c>
      <c r="C583" s="745" t="s">
        <v>92</v>
      </c>
      <c r="D583" s="746" t="s">
        <v>1555</v>
      </c>
      <c r="E583" s="791">
        <v>70421</v>
      </c>
      <c r="F583" s="747" t="s">
        <v>1048</v>
      </c>
      <c r="G583" s="451">
        <v>4800000</v>
      </c>
      <c r="H583" s="451">
        <v>4800000</v>
      </c>
      <c r="I583" s="454"/>
      <c r="J583" s="454"/>
    </row>
    <row r="584" spans="1:10" ht="30" customHeight="1" x14ac:dyDescent="0.25">
      <c r="A584" s="463"/>
      <c r="B584" s="774" t="s">
        <v>1556</v>
      </c>
      <c r="C584" s="772"/>
      <c r="D584" s="712"/>
      <c r="E584" s="775"/>
      <c r="F584" s="775"/>
      <c r="G584" s="775"/>
      <c r="H584" s="775"/>
    </row>
    <row r="585" spans="1:10" ht="18" customHeight="1" x14ac:dyDescent="0.25">
      <c r="A585" s="463"/>
      <c r="B585" s="436" t="s">
        <v>1557</v>
      </c>
      <c r="C585" s="745" t="s">
        <v>92</v>
      </c>
      <c r="D585" s="746" t="s">
        <v>1558</v>
      </c>
      <c r="E585" s="791">
        <v>70421</v>
      </c>
      <c r="F585" s="747" t="s">
        <v>1048</v>
      </c>
      <c r="G585" s="462">
        <v>3000000</v>
      </c>
      <c r="H585" s="462">
        <v>3000000</v>
      </c>
    </row>
    <row r="586" spans="1:10" ht="18" customHeight="1" x14ac:dyDescent="0.25">
      <c r="A586" s="463"/>
      <c r="B586" s="436" t="s">
        <v>1559</v>
      </c>
      <c r="C586" s="745" t="s">
        <v>92</v>
      </c>
      <c r="D586" s="746" t="s">
        <v>1558</v>
      </c>
      <c r="E586" s="791">
        <v>70421</v>
      </c>
      <c r="F586" s="747" t="s">
        <v>1048</v>
      </c>
      <c r="G586" s="462">
        <v>600000</v>
      </c>
      <c r="H586" s="462">
        <v>600000</v>
      </c>
    </row>
    <row r="587" spans="1:10" ht="21" customHeight="1" x14ac:dyDescent="0.25">
      <c r="A587" s="463"/>
      <c r="B587" s="978" t="s">
        <v>1560</v>
      </c>
      <c r="C587" s="978"/>
      <c r="D587" s="978"/>
      <c r="E587" s="978"/>
      <c r="F587" s="978"/>
      <c r="G587" s="473">
        <f>SUM(G585:G586)</f>
        <v>3600000</v>
      </c>
      <c r="H587" s="473">
        <f>SUM(H585:H586)</f>
        <v>3600000</v>
      </c>
    </row>
    <row r="588" spans="1:10" ht="83.25" customHeight="1" x14ac:dyDescent="0.25">
      <c r="A588" s="756"/>
      <c r="B588" s="467">
        <v>69</v>
      </c>
      <c r="C588" s="806"/>
      <c r="D588" s="806"/>
      <c r="E588" s="474"/>
      <c r="F588" s="474"/>
      <c r="G588" s="800"/>
      <c r="H588" s="800"/>
    </row>
    <row r="589" spans="1:10" ht="28.5" customHeight="1" x14ac:dyDescent="0.25">
      <c r="A589" s="463"/>
      <c r="B589" s="752" t="s">
        <v>1561</v>
      </c>
      <c r="C589" s="772"/>
      <c r="D589" s="712"/>
      <c r="E589" s="753"/>
      <c r="F589" s="753"/>
      <c r="G589" s="753"/>
      <c r="H589" s="463"/>
    </row>
    <row r="590" spans="1:10" ht="21" customHeight="1" x14ac:dyDescent="0.25">
      <c r="A590" s="463"/>
      <c r="B590" s="430" t="s">
        <v>1562</v>
      </c>
      <c r="C590" s="711" t="s">
        <v>92</v>
      </c>
      <c r="D590" s="712" t="s">
        <v>199</v>
      </c>
      <c r="E590" s="783">
        <v>70490</v>
      </c>
      <c r="F590" s="711" t="s">
        <v>1059</v>
      </c>
      <c r="G590" s="462">
        <v>1500000</v>
      </c>
      <c r="H590" s="462">
        <v>1500000</v>
      </c>
    </row>
    <row r="591" spans="1:10" ht="21" customHeight="1" x14ac:dyDescent="0.25">
      <c r="A591" s="463"/>
      <c r="B591" s="430" t="s">
        <v>1563</v>
      </c>
      <c r="C591" s="711" t="s">
        <v>92</v>
      </c>
      <c r="D591" s="712" t="s">
        <v>199</v>
      </c>
      <c r="E591" s="783">
        <v>70490</v>
      </c>
      <c r="F591" s="711" t="s">
        <v>1059</v>
      </c>
      <c r="G591" s="462">
        <v>9000000</v>
      </c>
      <c r="H591" s="462">
        <v>9000000</v>
      </c>
    </row>
    <row r="592" spans="1:10" ht="21" customHeight="1" x14ac:dyDescent="0.25">
      <c r="A592" s="463"/>
      <c r="B592" s="447" t="s">
        <v>1564</v>
      </c>
      <c r="C592" s="711" t="s">
        <v>92</v>
      </c>
      <c r="D592" s="712" t="s">
        <v>199</v>
      </c>
      <c r="E592" s="783">
        <v>70490</v>
      </c>
      <c r="F592" s="711" t="s">
        <v>1059</v>
      </c>
      <c r="G592" s="462">
        <v>1750000</v>
      </c>
      <c r="H592" s="462">
        <v>1750000</v>
      </c>
    </row>
    <row r="593" spans="1:8" ht="21" customHeight="1" x14ac:dyDescent="0.25">
      <c r="A593" s="463"/>
      <c r="B593" s="430" t="s">
        <v>1565</v>
      </c>
      <c r="C593" s="711" t="s">
        <v>92</v>
      </c>
      <c r="D593" s="712" t="s">
        <v>199</v>
      </c>
      <c r="E593" s="783">
        <v>70490</v>
      </c>
      <c r="F593" s="711" t="s">
        <v>1059</v>
      </c>
      <c r="G593" s="462">
        <v>10000000</v>
      </c>
      <c r="H593" s="462">
        <v>10000000</v>
      </c>
    </row>
    <row r="594" spans="1:8" ht="21" customHeight="1" x14ac:dyDescent="0.25">
      <c r="A594" s="463"/>
      <c r="B594" s="430" t="s">
        <v>1566</v>
      </c>
      <c r="C594" s="711" t="s">
        <v>92</v>
      </c>
      <c r="D594" s="712" t="s">
        <v>199</v>
      </c>
      <c r="E594" s="783">
        <v>70490</v>
      </c>
      <c r="F594" s="711" t="s">
        <v>1059</v>
      </c>
      <c r="G594" s="462">
        <v>2500000</v>
      </c>
      <c r="H594" s="462">
        <v>2500000</v>
      </c>
    </row>
    <row r="595" spans="1:8" ht="21" customHeight="1" x14ac:dyDescent="0.25">
      <c r="A595" s="463"/>
      <c r="B595" s="870" t="s">
        <v>117</v>
      </c>
      <c r="C595" s="705"/>
      <c r="D595" s="705"/>
      <c r="E595" s="870"/>
      <c r="F595" s="870"/>
      <c r="G595" s="473">
        <f>SUM(G590:G594)</f>
        <v>24750000</v>
      </c>
      <c r="H595" s="473">
        <f>SUM(H590:H594)</f>
        <v>24750000</v>
      </c>
    </row>
    <row r="596" spans="1:8" ht="21" customHeight="1" x14ac:dyDescent="0.25">
      <c r="A596" s="463"/>
      <c r="B596" s="436" t="s">
        <v>1567</v>
      </c>
      <c r="C596" s="745" t="s">
        <v>92</v>
      </c>
      <c r="D596" s="746" t="s">
        <v>199</v>
      </c>
      <c r="E596" s="785">
        <v>70490</v>
      </c>
      <c r="F596" s="747" t="s">
        <v>1048</v>
      </c>
      <c r="G596" s="451">
        <v>12600000</v>
      </c>
      <c r="H596" s="451">
        <f>1125000*12</f>
        <v>13500000</v>
      </c>
    </row>
    <row r="597" spans="1:8" ht="21" customHeight="1" x14ac:dyDescent="0.25">
      <c r="A597" s="463"/>
      <c r="B597" s="978" t="s">
        <v>1568</v>
      </c>
      <c r="C597" s="978"/>
      <c r="D597" s="978"/>
      <c r="E597" s="978"/>
      <c r="F597" s="978"/>
      <c r="G597" s="473">
        <f>SUM(G595:G596)</f>
        <v>37350000</v>
      </c>
      <c r="H597" s="473">
        <f>SUM(H595:H596)</f>
        <v>38250000</v>
      </c>
    </row>
    <row r="598" spans="1:8" ht="30.75" customHeight="1" x14ac:dyDescent="0.25">
      <c r="A598" s="463"/>
      <c r="B598" s="774" t="s">
        <v>1569</v>
      </c>
      <c r="C598" s="772"/>
      <c r="D598" s="712"/>
      <c r="E598" s="775"/>
      <c r="F598" s="775"/>
      <c r="G598" s="775"/>
      <c r="H598" s="775"/>
    </row>
    <row r="599" spans="1:8" ht="21" customHeight="1" x14ac:dyDescent="0.25">
      <c r="A599" s="463"/>
      <c r="B599" s="436" t="s">
        <v>1570</v>
      </c>
      <c r="C599" s="745" t="s">
        <v>92</v>
      </c>
      <c r="D599" s="746" t="s">
        <v>1571</v>
      </c>
      <c r="E599" s="482">
        <v>70411</v>
      </c>
      <c r="F599" s="747" t="s">
        <v>1048</v>
      </c>
      <c r="G599" s="451">
        <v>25000000</v>
      </c>
      <c r="H599" s="451">
        <f>25000000+15000000</f>
        <v>40000000</v>
      </c>
    </row>
    <row r="600" spans="1:8" ht="21" customHeight="1" x14ac:dyDescent="0.25">
      <c r="A600" s="463"/>
      <c r="B600" s="436" t="s">
        <v>1572</v>
      </c>
      <c r="C600" s="745" t="s">
        <v>92</v>
      </c>
      <c r="D600" s="746" t="s">
        <v>1571</v>
      </c>
      <c r="E600" s="482" t="s">
        <v>420</v>
      </c>
      <c r="F600" s="747" t="s">
        <v>1048</v>
      </c>
      <c r="G600" s="451">
        <v>8100000</v>
      </c>
      <c r="H600" s="451">
        <f>8100000+8100000</f>
        <v>16200000</v>
      </c>
    </row>
    <row r="601" spans="1:8" ht="36.75" customHeight="1" x14ac:dyDescent="0.25">
      <c r="A601" s="463"/>
      <c r="B601" s="975" t="s">
        <v>1573</v>
      </c>
      <c r="C601" s="975"/>
      <c r="D601" s="975"/>
      <c r="E601" s="975"/>
      <c r="F601" s="975"/>
      <c r="G601" s="473">
        <f>SUM(G599:G600)</f>
        <v>33100000</v>
      </c>
      <c r="H601" s="473">
        <f>SUM(H599:H600)</f>
        <v>56200000</v>
      </c>
    </row>
    <row r="602" spans="1:8" ht="34.5" customHeight="1" x14ac:dyDescent="0.25">
      <c r="A602" s="463"/>
      <c r="B602" s="752" t="s">
        <v>1574</v>
      </c>
      <c r="C602" s="772"/>
      <c r="D602" s="712"/>
      <c r="E602" s="753"/>
      <c r="F602" s="753"/>
      <c r="G602" s="753"/>
      <c r="H602" s="463"/>
    </row>
    <row r="603" spans="1:8" ht="21" customHeight="1" x14ac:dyDescent="0.25">
      <c r="A603" s="463"/>
      <c r="B603" s="430" t="s">
        <v>1575</v>
      </c>
      <c r="C603" s="711" t="s">
        <v>92</v>
      </c>
      <c r="D603" s="712" t="s">
        <v>334</v>
      </c>
      <c r="E603" s="801">
        <v>70435</v>
      </c>
      <c r="F603" s="711" t="s">
        <v>1059</v>
      </c>
      <c r="G603" s="462">
        <v>1500000</v>
      </c>
      <c r="H603" s="462">
        <v>1500000</v>
      </c>
    </row>
    <row r="604" spans="1:8" ht="21" customHeight="1" x14ac:dyDescent="0.25">
      <c r="A604" s="463"/>
      <c r="B604" s="430" t="s">
        <v>1576</v>
      </c>
      <c r="C604" s="711" t="s">
        <v>92</v>
      </c>
      <c r="D604" s="712" t="s">
        <v>334</v>
      </c>
      <c r="E604" s="801">
        <v>70435</v>
      </c>
      <c r="F604" s="713" t="s">
        <v>1048</v>
      </c>
      <c r="G604" s="462">
        <v>405000000</v>
      </c>
      <c r="H604" s="462">
        <v>405000000</v>
      </c>
    </row>
    <row r="605" spans="1:8" ht="21" customHeight="1" x14ac:dyDescent="0.25">
      <c r="A605" s="463"/>
      <c r="B605" s="430" t="s">
        <v>1577</v>
      </c>
      <c r="C605" s="711" t="s">
        <v>92</v>
      </c>
      <c r="D605" s="712" t="s">
        <v>334</v>
      </c>
      <c r="E605" s="801">
        <v>70435</v>
      </c>
      <c r="F605" s="713" t="s">
        <v>1048</v>
      </c>
      <c r="G605" s="462">
        <v>19200000</v>
      </c>
      <c r="H605" s="462">
        <v>19200000</v>
      </c>
    </row>
    <row r="606" spans="1:8" ht="30.75" customHeight="1" x14ac:dyDescent="0.25">
      <c r="A606" s="463"/>
      <c r="B606" s="430" t="s">
        <v>1578</v>
      </c>
      <c r="C606" s="711" t="s">
        <v>92</v>
      </c>
      <c r="D606" s="712" t="s">
        <v>334</v>
      </c>
      <c r="E606" s="801">
        <v>70435</v>
      </c>
      <c r="F606" s="713" t="s">
        <v>1048</v>
      </c>
      <c r="G606" s="462">
        <v>402400000</v>
      </c>
      <c r="H606" s="462">
        <v>402400000</v>
      </c>
    </row>
    <row r="607" spans="1:8" ht="21" customHeight="1" x14ac:dyDescent="0.25">
      <c r="A607" s="463"/>
      <c r="B607" s="430" t="s">
        <v>1579</v>
      </c>
      <c r="C607" s="711" t="s">
        <v>92</v>
      </c>
      <c r="D607" s="712" t="s">
        <v>334</v>
      </c>
      <c r="E607" s="801">
        <v>70435</v>
      </c>
      <c r="F607" s="713" t="s">
        <v>1048</v>
      </c>
      <c r="G607" s="462">
        <v>150000</v>
      </c>
      <c r="H607" s="462">
        <v>150000</v>
      </c>
    </row>
    <row r="608" spans="1:8" ht="21" customHeight="1" x14ac:dyDescent="0.25">
      <c r="A608" s="463"/>
      <c r="B608" s="447" t="s">
        <v>1580</v>
      </c>
      <c r="C608" s="711" t="s">
        <v>92</v>
      </c>
      <c r="D608" s="712" t="s">
        <v>334</v>
      </c>
      <c r="E608" s="801">
        <v>70435</v>
      </c>
      <c r="F608" s="713" t="s">
        <v>1048</v>
      </c>
      <c r="G608" s="462">
        <v>75000000</v>
      </c>
      <c r="H608" s="462">
        <v>75000000</v>
      </c>
    </row>
    <row r="609" spans="1:285" ht="21" customHeight="1" x14ac:dyDescent="0.25">
      <c r="A609" s="463"/>
      <c r="B609" s="870" t="s">
        <v>117</v>
      </c>
      <c r="C609" s="705"/>
      <c r="D609" s="705"/>
      <c r="E609" s="870"/>
      <c r="F609" s="870"/>
      <c r="G609" s="473">
        <f>SUM(G603:G608)</f>
        <v>903250000</v>
      </c>
      <c r="H609" s="473">
        <f>SUM(H603:H608)</f>
        <v>903250000</v>
      </c>
    </row>
    <row r="610" spans="1:285" ht="21" customHeight="1" x14ac:dyDescent="0.25">
      <c r="A610" s="463"/>
      <c r="B610" s="436" t="s">
        <v>1581</v>
      </c>
      <c r="C610" s="745" t="s">
        <v>92</v>
      </c>
      <c r="D610" s="746" t="s">
        <v>334</v>
      </c>
      <c r="E610" s="791">
        <v>70435</v>
      </c>
      <c r="F610" s="747" t="s">
        <v>1048</v>
      </c>
      <c r="G610" s="462">
        <v>16800000</v>
      </c>
      <c r="H610" s="462">
        <v>16800000</v>
      </c>
    </row>
    <row r="611" spans="1:285" ht="21" customHeight="1" x14ac:dyDescent="0.25">
      <c r="A611" s="463"/>
      <c r="B611" s="978" t="s">
        <v>1582</v>
      </c>
      <c r="C611" s="978"/>
      <c r="D611" s="978"/>
      <c r="E611" s="978"/>
      <c r="F611" s="978"/>
      <c r="G611" s="473">
        <f>SUM(G609:G610)</f>
        <v>920050000</v>
      </c>
      <c r="H611" s="473">
        <f>SUM(H609:H610)</f>
        <v>920050000</v>
      </c>
    </row>
    <row r="612" spans="1:285" ht="84.75" customHeight="1" x14ac:dyDescent="0.25">
      <c r="A612" s="756"/>
      <c r="B612" s="467">
        <v>70</v>
      </c>
      <c r="C612" s="806"/>
      <c r="D612" s="806"/>
      <c r="E612" s="474"/>
      <c r="F612" s="474"/>
      <c r="G612" s="815"/>
      <c r="H612" s="815"/>
    </row>
    <row r="613" spans="1:285" ht="21" customHeight="1" x14ac:dyDescent="0.25">
      <c r="A613" s="463"/>
      <c r="B613" s="774" t="s">
        <v>958</v>
      </c>
      <c r="C613" s="772"/>
      <c r="D613" s="712"/>
      <c r="E613" s="807"/>
      <c r="F613" s="807"/>
      <c r="G613" s="807"/>
      <c r="H613" s="807"/>
    </row>
    <row r="614" spans="1:285" s="455" customFormat="1" ht="21" customHeight="1" x14ac:dyDescent="0.25">
      <c r="A614" s="763"/>
      <c r="B614" s="436" t="s">
        <v>1583</v>
      </c>
      <c r="C614" s="745" t="s">
        <v>92</v>
      </c>
      <c r="D614" s="746" t="s">
        <v>1584</v>
      </c>
      <c r="E614" s="791">
        <v>70435</v>
      </c>
      <c r="F614" s="747" t="s">
        <v>1048</v>
      </c>
      <c r="G614" s="462">
        <v>26100000</v>
      </c>
      <c r="H614" s="462">
        <v>26100000</v>
      </c>
      <c r="I614" s="454"/>
      <c r="J614" s="454"/>
    </row>
    <row r="615" spans="1:285" s="455" customFormat="1" ht="21" customHeight="1" x14ac:dyDescent="0.25">
      <c r="A615" s="763"/>
      <c r="B615" s="436" t="s">
        <v>1585</v>
      </c>
      <c r="C615" s="745" t="s">
        <v>92</v>
      </c>
      <c r="D615" s="746" t="s">
        <v>1584</v>
      </c>
      <c r="E615" s="791">
        <v>70435</v>
      </c>
      <c r="F615" s="747" t="s">
        <v>1048</v>
      </c>
      <c r="G615" s="462">
        <v>3600000</v>
      </c>
      <c r="H615" s="462">
        <v>3600000</v>
      </c>
      <c r="I615" s="454"/>
      <c r="J615" s="454"/>
    </row>
    <row r="616" spans="1:285" s="455" customFormat="1" ht="21" customHeight="1" x14ac:dyDescent="0.25">
      <c r="A616" s="763"/>
      <c r="B616" s="978" t="s">
        <v>1586</v>
      </c>
      <c r="C616" s="978"/>
      <c r="D616" s="978"/>
      <c r="E616" s="978"/>
      <c r="F616" s="978"/>
      <c r="G616" s="473">
        <f>SUM(G614:G615)</f>
        <v>29700000</v>
      </c>
      <c r="H616" s="473">
        <f>SUM(H614:H615)</f>
        <v>29700000</v>
      </c>
      <c r="I616" s="454"/>
      <c r="J616" s="454"/>
    </row>
    <row r="617" spans="1:285" ht="28.5" customHeight="1" x14ac:dyDescent="0.25">
      <c r="A617" s="463"/>
      <c r="B617" s="752" t="s">
        <v>1587</v>
      </c>
      <c r="C617" s="772"/>
      <c r="D617" s="712"/>
      <c r="E617" s="753"/>
      <c r="F617" s="753"/>
      <c r="G617" s="816"/>
      <c r="H617" s="463"/>
    </row>
    <row r="618" spans="1:285" ht="21" customHeight="1" x14ac:dyDescent="0.25">
      <c r="A618" s="463"/>
      <c r="B618" s="430" t="s">
        <v>1562</v>
      </c>
      <c r="C618" s="711" t="s">
        <v>92</v>
      </c>
      <c r="D618" s="712" t="s">
        <v>155</v>
      </c>
      <c r="E618" s="783">
        <v>70630</v>
      </c>
      <c r="F618" s="713" t="s">
        <v>1048</v>
      </c>
      <c r="G618" s="462">
        <v>3000000</v>
      </c>
      <c r="H618" s="462">
        <v>3000000</v>
      </c>
    </row>
    <row r="619" spans="1:285" s="453" customFormat="1" ht="21" customHeight="1" x14ac:dyDescent="0.25">
      <c r="A619" s="463"/>
      <c r="B619" s="447" t="s">
        <v>1588</v>
      </c>
      <c r="C619" s="711" t="s">
        <v>92</v>
      </c>
      <c r="D619" s="712" t="s">
        <v>155</v>
      </c>
      <c r="E619" s="783">
        <v>70630</v>
      </c>
      <c r="F619" s="711" t="s">
        <v>1059</v>
      </c>
      <c r="G619" s="462">
        <v>350000</v>
      </c>
      <c r="H619" s="462">
        <v>350000</v>
      </c>
      <c r="I619" s="425"/>
      <c r="J619" s="425"/>
      <c r="K619" s="426"/>
      <c r="L619" s="426"/>
      <c r="M619" s="426"/>
      <c r="N619" s="426"/>
      <c r="O619" s="426"/>
      <c r="P619" s="426"/>
      <c r="Q619" s="426"/>
      <c r="R619" s="426"/>
      <c r="S619" s="426"/>
      <c r="T619" s="426"/>
      <c r="U619" s="426"/>
      <c r="V619" s="426"/>
      <c r="W619" s="426"/>
      <c r="X619" s="426"/>
      <c r="Y619" s="426"/>
      <c r="Z619" s="426"/>
      <c r="AA619" s="426"/>
      <c r="AB619" s="426"/>
      <c r="AC619" s="426"/>
      <c r="AD619" s="426"/>
      <c r="AE619" s="426"/>
      <c r="AF619" s="426"/>
      <c r="AG619" s="426"/>
      <c r="AH619" s="426"/>
      <c r="AI619" s="426"/>
      <c r="AJ619" s="426"/>
      <c r="AK619" s="426"/>
      <c r="AL619" s="426"/>
      <c r="AM619" s="426"/>
      <c r="AN619" s="426"/>
      <c r="AO619" s="426"/>
      <c r="AP619" s="426"/>
      <c r="AQ619" s="426"/>
      <c r="AR619" s="426"/>
      <c r="AS619" s="426"/>
      <c r="AT619" s="426"/>
      <c r="AU619" s="426"/>
      <c r="AV619" s="426"/>
      <c r="AW619" s="426"/>
      <c r="AX619" s="426"/>
      <c r="AY619" s="426"/>
      <c r="AZ619" s="426"/>
      <c r="BA619" s="426"/>
      <c r="BB619" s="426"/>
      <c r="BC619" s="426"/>
      <c r="BD619" s="426"/>
      <c r="BE619" s="426"/>
      <c r="BF619" s="426"/>
      <c r="BG619" s="426"/>
      <c r="BH619" s="426"/>
      <c r="BI619" s="426"/>
      <c r="BJ619" s="426"/>
      <c r="BK619" s="426"/>
      <c r="BL619" s="426"/>
      <c r="BM619" s="426"/>
      <c r="BN619" s="426"/>
      <c r="BO619" s="426"/>
      <c r="BP619" s="426"/>
      <c r="BQ619" s="426"/>
      <c r="BR619" s="426"/>
      <c r="BS619" s="426"/>
      <c r="BT619" s="426"/>
      <c r="BU619" s="426"/>
      <c r="BV619" s="426"/>
      <c r="BW619" s="426"/>
      <c r="BX619" s="426"/>
      <c r="BY619" s="426"/>
      <c r="BZ619" s="426"/>
      <c r="CA619" s="426"/>
      <c r="CB619" s="426"/>
      <c r="CC619" s="426"/>
      <c r="CD619" s="426"/>
      <c r="CE619" s="426"/>
      <c r="CF619" s="426"/>
      <c r="CG619" s="426"/>
      <c r="CH619" s="426"/>
      <c r="CI619" s="426"/>
      <c r="CJ619" s="426"/>
      <c r="CK619" s="426"/>
      <c r="CL619" s="426"/>
      <c r="CM619" s="426"/>
      <c r="CN619" s="426"/>
      <c r="CO619" s="426"/>
      <c r="CP619" s="426"/>
      <c r="CQ619" s="426"/>
      <c r="CR619" s="426"/>
      <c r="CS619" s="426"/>
      <c r="CT619" s="426"/>
      <c r="CU619" s="426"/>
      <c r="CV619" s="426"/>
      <c r="CW619" s="426"/>
      <c r="CX619" s="426"/>
      <c r="CY619" s="426"/>
      <c r="CZ619" s="426"/>
      <c r="DA619" s="426"/>
      <c r="DB619" s="426"/>
      <c r="DC619" s="426"/>
      <c r="DD619" s="426"/>
      <c r="DE619" s="426"/>
      <c r="DF619" s="426"/>
      <c r="DG619" s="426"/>
      <c r="DH619" s="426"/>
      <c r="DI619" s="426"/>
      <c r="DJ619" s="426"/>
      <c r="DK619" s="426"/>
      <c r="DL619" s="426"/>
      <c r="DM619" s="426"/>
      <c r="DN619" s="426"/>
      <c r="DO619" s="426"/>
      <c r="DP619" s="426"/>
      <c r="DQ619" s="426"/>
      <c r="DR619" s="426"/>
      <c r="DS619" s="426"/>
      <c r="DT619" s="426"/>
      <c r="DU619" s="426"/>
      <c r="DV619" s="426"/>
      <c r="DW619" s="426"/>
      <c r="DX619" s="426"/>
      <c r="DY619" s="426"/>
      <c r="DZ619" s="426"/>
      <c r="EA619" s="426"/>
      <c r="EB619" s="426"/>
      <c r="EC619" s="426"/>
      <c r="ED619" s="426"/>
      <c r="EE619" s="426"/>
      <c r="EF619" s="426"/>
      <c r="EG619" s="426"/>
      <c r="EH619" s="426"/>
      <c r="EI619" s="426"/>
      <c r="EJ619" s="426"/>
      <c r="EK619" s="426"/>
      <c r="EL619" s="426"/>
      <c r="EM619" s="426"/>
      <c r="EN619" s="426"/>
      <c r="EO619" s="426"/>
      <c r="EP619" s="426"/>
      <c r="EQ619" s="426"/>
      <c r="ER619" s="426"/>
      <c r="ES619" s="426"/>
      <c r="ET619" s="426"/>
      <c r="EU619" s="426"/>
      <c r="EV619" s="426"/>
      <c r="EW619" s="426"/>
      <c r="EX619" s="426"/>
      <c r="EY619" s="426"/>
      <c r="EZ619" s="426"/>
      <c r="FA619" s="426"/>
      <c r="FB619" s="426"/>
      <c r="FC619" s="426"/>
      <c r="FD619" s="426"/>
      <c r="FE619" s="426"/>
      <c r="FF619" s="426"/>
      <c r="FG619" s="426"/>
      <c r="FH619" s="426"/>
      <c r="FI619" s="426"/>
      <c r="FJ619" s="426"/>
      <c r="FK619" s="426"/>
      <c r="FL619" s="426"/>
      <c r="FM619" s="426"/>
      <c r="FN619" s="426"/>
      <c r="FO619" s="426"/>
      <c r="FP619" s="426"/>
      <c r="FQ619" s="426"/>
      <c r="FR619" s="426"/>
      <c r="FS619" s="426"/>
      <c r="FT619" s="426"/>
      <c r="FU619" s="426"/>
      <c r="FV619" s="426"/>
      <c r="FW619" s="426"/>
      <c r="FX619" s="426"/>
      <c r="FY619" s="426"/>
      <c r="FZ619" s="426"/>
      <c r="GA619" s="426"/>
      <c r="GB619" s="426"/>
      <c r="GC619" s="426"/>
      <c r="GD619" s="426"/>
      <c r="GE619" s="426"/>
      <c r="GF619" s="426"/>
      <c r="GG619" s="426"/>
      <c r="GH619" s="426"/>
      <c r="GI619" s="426"/>
      <c r="GJ619" s="426"/>
      <c r="GK619" s="426"/>
      <c r="GL619" s="426"/>
      <c r="GM619" s="426"/>
      <c r="GN619" s="426"/>
      <c r="GO619" s="426"/>
      <c r="GP619" s="426"/>
      <c r="GQ619" s="426"/>
      <c r="GR619" s="426"/>
      <c r="GS619" s="426"/>
      <c r="GT619" s="426"/>
      <c r="GU619" s="426"/>
      <c r="GV619" s="426"/>
      <c r="GW619" s="426"/>
      <c r="GX619" s="426"/>
      <c r="GY619" s="426"/>
      <c r="GZ619" s="426"/>
      <c r="HA619" s="426"/>
      <c r="HB619" s="426"/>
      <c r="HC619" s="426"/>
      <c r="HD619" s="426"/>
      <c r="HE619" s="426"/>
      <c r="HF619" s="426"/>
      <c r="HG619" s="426"/>
      <c r="HH619" s="426"/>
      <c r="HI619" s="426"/>
      <c r="HJ619" s="426"/>
      <c r="HK619" s="426"/>
      <c r="HL619" s="426"/>
      <c r="HM619" s="426"/>
      <c r="HN619" s="426"/>
      <c r="HO619" s="426"/>
      <c r="HP619" s="426"/>
      <c r="HQ619" s="426"/>
      <c r="HR619" s="426"/>
      <c r="HS619" s="426"/>
      <c r="HT619" s="426"/>
      <c r="HU619" s="426"/>
      <c r="HV619" s="426"/>
      <c r="HW619" s="426"/>
      <c r="HX619" s="426"/>
      <c r="HY619" s="426"/>
      <c r="HZ619" s="426"/>
      <c r="IA619" s="426"/>
      <c r="IB619" s="426"/>
      <c r="IC619" s="426"/>
      <c r="ID619" s="426"/>
      <c r="IE619" s="426"/>
      <c r="IF619" s="426"/>
      <c r="IG619" s="426"/>
      <c r="IH619" s="426"/>
      <c r="II619" s="426"/>
      <c r="IJ619" s="426"/>
      <c r="IK619" s="426"/>
      <c r="IL619" s="426"/>
      <c r="IM619" s="426"/>
      <c r="IN619" s="426"/>
      <c r="IO619" s="426"/>
      <c r="IP619" s="426"/>
      <c r="IQ619" s="426"/>
      <c r="IR619" s="426"/>
      <c r="IS619" s="426"/>
      <c r="IT619" s="426"/>
      <c r="IU619" s="426"/>
      <c r="IV619" s="426"/>
      <c r="IW619" s="426"/>
      <c r="IX619" s="426"/>
      <c r="IY619" s="426"/>
      <c r="IZ619" s="426"/>
      <c r="JA619" s="426"/>
      <c r="JB619" s="426"/>
      <c r="JC619" s="426"/>
      <c r="JD619" s="426"/>
      <c r="JE619" s="426"/>
      <c r="JF619" s="426"/>
      <c r="JG619" s="426"/>
      <c r="JH619" s="426"/>
      <c r="JI619" s="426"/>
      <c r="JJ619" s="426"/>
      <c r="JK619" s="426"/>
      <c r="JL619" s="426"/>
      <c r="JM619" s="426"/>
      <c r="JN619" s="426"/>
      <c r="JO619" s="426"/>
      <c r="JP619" s="426"/>
      <c r="JQ619" s="426"/>
      <c r="JR619" s="426"/>
      <c r="JS619" s="426"/>
      <c r="JT619" s="426"/>
      <c r="JU619" s="426"/>
      <c r="JV619" s="426"/>
      <c r="JW619" s="426"/>
      <c r="JX619" s="426"/>
      <c r="JY619" s="475"/>
    </row>
    <row r="620" spans="1:285" s="453" customFormat="1" ht="21" customHeight="1" x14ac:dyDescent="0.25">
      <c r="A620" s="463"/>
      <c r="B620" s="447" t="s">
        <v>1589</v>
      </c>
      <c r="C620" s="711" t="s">
        <v>92</v>
      </c>
      <c r="D620" s="712" t="s">
        <v>155</v>
      </c>
      <c r="E620" s="783">
        <v>70630</v>
      </c>
      <c r="F620" s="711" t="s">
        <v>1059</v>
      </c>
      <c r="G620" s="462">
        <v>1500000</v>
      </c>
      <c r="H620" s="462">
        <v>1500000</v>
      </c>
      <c r="I620" s="425"/>
      <c r="J620" s="425"/>
      <c r="K620" s="426"/>
      <c r="L620" s="426"/>
      <c r="M620" s="426"/>
      <c r="N620" s="426"/>
      <c r="O620" s="426"/>
      <c r="P620" s="426"/>
      <c r="Q620" s="426"/>
      <c r="R620" s="426"/>
      <c r="S620" s="426"/>
      <c r="T620" s="426"/>
      <c r="U620" s="426"/>
      <c r="V620" s="426"/>
      <c r="W620" s="426"/>
      <c r="X620" s="426"/>
      <c r="Y620" s="426"/>
      <c r="Z620" s="426"/>
      <c r="AA620" s="426"/>
      <c r="AB620" s="426"/>
      <c r="AC620" s="426"/>
      <c r="AD620" s="426"/>
      <c r="AE620" s="426"/>
      <c r="AF620" s="426"/>
      <c r="AG620" s="426"/>
      <c r="AH620" s="426"/>
      <c r="AI620" s="426"/>
      <c r="AJ620" s="426"/>
      <c r="AK620" s="426"/>
      <c r="AL620" s="426"/>
      <c r="AM620" s="426"/>
      <c r="AN620" s="426"/>
      <c r="AO620" s="426"/>
      <c r="AP620" s="426"/>
      <c r="AQ620" s="426"/>
      <c r="AR620" s="426"/>
      <c r="AS620" s="426"/>
      <c r="AT620" s="426"/>
      <c r="AU620" s="426"/>
      <c r="AV620" s="426"/>
      <c r="AW620" s="426"/>
      <c r="AX620" s="426"/>
      <c r="AY620" s="426"/>
      <c r="AZ620" s="426"/>
      <c r="BA620" s="426"/>
      <c r="BB620" s="426"/>
      <c r="BC620" s="426"/>
      <c r="BD620" s="426"/>
      <c r="BE620" s="426"/>
      <c r="BF620" s="426"/>
      <c r="BG620" s="426"/>
      <c r="BH620" s="426"/>
      <c r="BI620" s="426"/>
      <c r="BJ620" s="426"/>
      <c r="BK620" s="426"/>
      <c r="BL620" s="426"/>
      <c r="BM620" s="426"/>
      <c r="BN620" s="426"/>
      <c r="BO620" s="426"/>
      <c r="BP620" s="426"/>
      <c r="BQ620" s="426"/>
      <c r="BR620" s="426"/>
      <c r="BS620" s="426"/>
      <c r="BT620" s="426"/>
      <c r="BU620" s="426"/>
      <c r="BV620" s="426"/>
      <c r="BW620" s="426"/>
      <c r="BX620" s="426"/>
      <c r="BY620" s="426"/>
      <c r="BZ620" s="426"/>
      <c r="CA620" s="426"/>
      <c r="CB620" s="426"/>
      <c r="CC620" s="426"/>
      <c r="CD620" s="426"/>
      <c r="CE620" s="426"/>
      <c r="CF620" s="426"/>
      <c r="CG620" s="426"/>
      <c r="CH620" s="426"/>
      <c r="CI620" s="426"/>
      <c r="CJ620" s="426"/>
      <c r="CK620" s="426"/>
      <c r="CL620" s="426"/>
      <c r="CM620" s="426"/>
      <c r="CN620" s="426"/>
      <c r="CO620" s="426"/>
      <c r="CP620" s="426"/>
      <c r="CQ620" s="426"/>
      <c r="CR620" s="426"/>
      <c r="CS620" s="426"/>
      <c r="CT620" s="426"/>
      <c r="CU620" s="426"/>
      <c r="CV620" s="426"/>
      <c r="CW620" s="426"/>
      <c r="CX620" s="426"/>
      <c r="CY620" s="426"/>
      <c r="CZ620" s="426"/>
      <c r="DA620" s="426"/>
      <c r="DB620" s="426"/>
      <c r="DC620" s="426"/>
      <c r="DD620" s="426"/>
      <c r="DE620" s="426"/>
      <c r="DF620" s="426"/>
      <c r="DG620" s="426"/>
      <c r="DH620" s="426"/>
      <c r="DI620" s="426"/>
      <c r="DJ620" s="426"/>
      <c r="DK620" s="426"/>
      <c r="DL620" s="426"/>
      <c r="DM620" s="426"/>
      <c r="DN620" s="426"/>
      <c r="DO620" s="426"/>
      <c r="DP620" s="426"/>
      <c r="DQ620" s="426"/>
      <c r="DR620" s="426"/>
      <c r="DS620" s="426"/>
      <c r="DT620" s="426"/>
      <c r="DU620" s="426"/>
      <c r="DV620" s="426"/>
      <c r="DW620" s="426"/>
      <c r="DX620" s="426"/>
      <c r="DY620" s="426"/>
      <c r="DZ620" s="426"/>
      <c r="EA620" s="426"/>
      <c r="EB620" s="426"/>
      <c r="EC620" s="426"/>
      <c r="ED620" s="426"/>
      <c r="EE620" s="426"/>
      <c r="EF620" s="426"/>
      <c r="EG620" s="426"/>
      <c r="EH620" s="426"/>
      <c r="EI620" s="426"/>
      <c r="EJ620" s="426"/>
      <c r="EK620" s="426"/>
      <c r="EL620" s="426"/>
      <c r="EM620" s="426"/>
      <c r="EN620" s="426"/>
      <c r="EO620" s="426"/>
      <c r="EP620" s="426"/>
      <c r="EQ620" s="426"/>
      <c r="ER620" s="426"/>
      <c r="ES620" s="426"/>
      <c r="ET620" s="426"/>
      <c r="EU620" s="426"/>
      <c r="EV620" s="426"/>
      <c r="EW620" s="426"/>
      <c r="EX620" s="426"/>
      <c r="EY620" s="426"/>
      <c r="EZ620" s="426"/>
      <c r="FA620" s="426"/>
      <c r="FB620" s="426"/>
      <c r="FC620" s="426"/>
      <c r="FD620" s="426"/>
      <c r="FE620" s="426"/>
      <c r="FF620" s="426"/>
      <c r="FG620" s="426"/>
      <c r="FH620" s="426"/>
      <c r="FI620" s="426"/>
      <c r="FJ620" s="426"/>
      <c r="FK620" s="426"/>
      <c r="FL620" s="426"/>
      <c r="FM620" s="426"/>
      <c r="FN620" s="426"/>
      <c r="FO620" s="426"/>
      <c r="FP620" s="426"/>
      <c r="FQ620" s="426"/>
      <c r="FR620" s="426"/>
      <c r="FS620" s="426"/>
      <c r="FT620" s="426"/>
      <c r="FU620" s="426"/>
      <c r="FV620" s="426"/>
      <c r="FW620" s="426"/>
      <c r="FX620" s="426"/>
      <c r="FY620" s="426"/>
      <c r="FZ620" s="426"/>
      <c r="GA620" s="426"/>
      <c r="GB620" s="426"/>
      <c r="GC620" s="426"/>
      <c r="GD620" s="426"/>
      <c r="GE620" s="426"/>
      <c r="GF620" s="426"/>
      <c r="GG620" s="426"/>
      <c r="GH620" s="426"/>
      <c r="GI620" s="426"/>
      <c r="GJ620" s="426"/>
      <c r="GK620" s="426"/>
      <c r="GL620" s="426"/>
      <c r="GM620" s="426"/>
      <c r="GN620" s="426"/>
      <c r="GO620" s="426"/>
      <c r="GP620" s="426"/>
      <c r="GQ620" s="426"/>
      <c r="GR620" s="426"/>
      <c r="GS620" s="426"/>
      <c r="GT620" s="426"/>
      <c r="GU620" s="426"/>
      <c r="GV620" s="426"/>
      <c r="GW620" s="426"/>
      <c r="GX620" s="426"/>
      <c r="GY620" s="426"/>
      <c r="GZ620" s="426"/>
      <c r="HA620" s="426"/>
      <c r="HB620" s="426"/>
      <c r="HC620" s="426"/>
      <c r="HD620" s="426"/>
      <c r="HE620" s="426"/>
      <c r="HF620" s="426"/>
      <c r="HG620" s="426"/>
      <c r="HH620" s="426"/>
      <c r="HI620" s="426"/>
      <c r="HJ620" s="426"/>
      <c r="HK620" s="426"/>
      <c r="HL620" s="426"/>
      <c r="HM620" s="426"/>
      <c r="HN620" s="426"/>
      <c r="HO620" s="426"/>
      <c r="HP620" s="426"/>
      <c r="HQ620" s="426"/>
      <c r="HR620" s="426"/>
      <c r="HS620" s="426"/>
      <c r="HT620" s="426"/>
      <c r="HU620" s="426"/>
      <c r="HV620" s="426"/>
      <c r="HW620" s="426"/>
      <c r="HX620" s="426"/>
      <c r="HY620" s="426"/>
      <c r="HZ620" s="426"/>
      <c r="IA620" s="426"/>
      <c r="IB620" s="426"/>
      <c r="IC620" s="426"/>
      <c r="ID620" s="426"/>
      <c r="IE620" s="426"/>
      <c r="IF620" s="426"/>
      <c r="IG620" s="426"/>
      <c r="IH620" s="426"/>
      <c r="II620" s="426"/>
      <c r="IJ620" s="426"/>
      <c r="IK620" s="426"/>
      <c r="IL620" s="426"/>
      <c r="IM620" s="426"/>
      <c r="IN620" s="426"/>
      <c r="IO620" s="426"/>
      <c r="IP620" s="426"/>
      <c r="IQ620" s="426"/>
      <c r="IR620" s="426"/>
      <c r="IS620" s="426"/>
      <c r="IT620" s="426"/>
      <c r="IU620" s="426"/>
      <c r="IV620" s="426"/>
      <c r="IW620" s="426"/>
      <c r="IX620" s="426"/>
      <c r="IY620" s="426"/>
      <c r="IZ620" s="426"/>
      <c r="JA620" s="426"/>
      <c r="JB620" s="426"/>
      <c r="JC620" s="426"/>
      <c r="JD620" s="426"/>
      <c r="JE620" s="426"/>
      <c r="JF620" s="426"/>
      <c r="JG620" s="426"/>
      <c r="JH620" s="426"/>
      <c r="JI620" s="426"/>
      <c r="JJ620" s="426"/>
      <c r="JK620" s="426"/>
      <c r="JL620" s="426"/>
      <c r="JM620" s="426"/>
      <c r="JN620" s="426"/>
      <c r="JO620" s="426"/>
      <c r="JP620" s="426"/>
      <c r="JQ620" s="426"/>
      <c r="JR620" s="426"/>
      <c r="JS620" s="426"/>
      <c r="JT620" s="426"/>
      <c r="JU620" s="426"/>
      <c r="JV620" s="426"/>
      <c r="JW620" s="426"/>
      <c r="JX620" s="426"/>
      <c r="JY620" s="475"/>
    </row>
    <row r="621" spans="1:285" s="453" customFormat="1" ht="21" customHeight="1" x14ac:dyDescent="0.25">
      <c r="A621" s="463"/>
      <c r="B621" s="871" t="s">
        <v>117</v>
      </c>
      <c r="C621" s="779"/>
      <c r="D621" s="705"/>
      <c r="E621" s="871"/>
      <c r="F621" s="871"/>
      <c r="G621" s="498">
        <f>SUM(G618:G620)</f>
        <v>4850000</v>
      </c>
      <c r="H621" s="473">
        <f>SUM(H618:H620)</f>
        <v>4850000</v>
      </c>
      <c r="I621" s="425"/>
      <c r="J621" s="425"/>
      <c r="K621" s="426"/>
      <c r="L621" s="426"/>
      <c r="M621" s="426"/>
      <c r="N621" s="426"/>
      <c r="O621" s="426"/>
      <c r="P621" s="426"/>
      <c r="Q621" s="426"/>
      <c r="R621" s="426"/>
      <c r="S621" s="426"/>
      <c r="T621" s="426"/>
      <c r="U621" s="426"/>
      <c r="V621" s="426"/>
      <c r="W621" s="426"/>
      <c r="X621" s="426"/>
      <c r="Y621" s="426"/>
      <c r="Z621" s="426"/>
      <c r="AA621" s="426"/>
      <c r="AB621" s="426"/>
      <c r="AC621" s="426"/>
      <c r="AD621" s="426"/>
      <c r="AE621" s="426"/>
      <c r="AF621" s="426"/>
      <c r="AG621" s="426"/>
      <c r="AH621" s="426"/>
      <c r="AI621" s="426"/>
      <c r="AJ621" s="426"/>
      <c r="AK621" s="426"/>
      <c r="AL621" s="426"/>
      <c r="AM621" s="426"/>
      <c r="AN621" s="426"/>
      <c r="AO621" s="426"/>
      <c r="AP621" s="426"/>
      <c r="AQ621" s="426"/>
      <c r="AR621" s="426"/>
      <c r="AS621" s="426"/>
      <c r="AT621" s="426"/>
      <c r="AU621" s="426"/>
      <c r="AV621" s="426"/>
      <c r="AW621" s="426"/>
      <c r="AX621" s="426"/>
      <c r="AY621" s="426"/>
      <c r="AZ621" s="426"/>
      <c r="BA621" s="426"/>
      <c r="BB621" s="426"/>
      <c r="BC621" s="426"/>
      <c r="BD621" s="426"/>
      <c r="BE621" s="426"/>
      <c r="BF621" s="426"/>
      <c r="BG621" s="426"/>
      <c r="BH621" s="426"/>
      <c r="BI621" s="426"/>
      <c r="BJ621" s="426"/>
      <c r="BK621" s="426"/>
      <c r="BL621" s="426"/>
      <c r="BM621" s="426"/>
      <c r="BN621" s="426"/>
      <c r="BO621" s="426"/>
      <c r="BP621" s="426"/>
      <c r="BQ621" s="426"/>
      <c r="BR621" s="426"/>
      <c r="BS621" s="426"/>
      <c r="BT621" s="426"/>
      <c r="BU621" s="426"/>
      <c r="BV621" s="426"/>
      <c r="BW621" s="426"/>
      <c r="BX621" s="426"/>
      <c r="BY621" s="426"/>
      <c r="BZ621" s="426"/>
      <c r="CA621" s="426"/>
      <c r="CB621" s="426"/>
      <c r="CC621" s="426"/>
      <c r="CD621" s="426"/>
      <c r="CE621" s="426"/>
      <c r="CF621" s="426"/>
      <c r="CG621" s="426"/>
      <c r="CH621" s="426"/>
      <c r="CI621" s="426"/>
      <c r="CJ621" s="426"/>
      <c r="CK621" s="426"/>
      <c r="CL621" s="426"/>
      <c r="CM621" s="426"/>
      <c r="CN621" s="426"/>
      <c r="CO621" s="426"/>
      <c r="CP621" s="426"/>
      <c r="CQ621" s="426"/>
      <c r="CR621" s="426"/>
      <c r="CS621" s="426"/>
      <c r="CT621" s="426"/>
      <c r="CU621" s="426"/>
      <c r="CV621" s="426"/>
      <c r="CW621" s="426"/>
      <c r="CX621" s="426"/>
      <c r="CY621" s="426"/>
      <c r="CZ621" s="426"/>
      <c r="DA621" s="426"/>
      <c r="DB621" s="426"/>
      <c r="DC621" s="426"/>
      <c r="DD621" s="426"/>
      <c r="DE621" s="426"/>
      <c r="DF621" s="426"/>
      <c r="DG621" s="426"/>
      <c r="DH621" s="426"/>
      <c r="DI621" s="426"/>
      <c r="DJ621" s="426"/>
      <c r="DK621" s="426"/>
      <c r="DL621" s="426"/>
      <c r="DM621" s="426"/>
      <c r="DN621" s="426"/>
      <c r="DO621" s="426"/>
      <c r="DP621" s="426"/>
      <c r="DQ621" s="426"/>
      <c r="DR621" s="426"/>
      <c r="DS621" s="426"/>
      <c r="DT621" s="426"/>
      <c r="DU621" s="426"/>
      <c r="DV621" s="426"/>
      <c r="DW621" s="426"/>
      <c r="DX621" s="426"/>
      <c r="DY621" s="426"/>
      <c r="DZ621" s="426"/>
      <c r="EA621" s="426"/>
      <c r="EB621" s="426"/>
      <c r="EC621" s="426"/>
      <c r="ED621" s="426"/>
      <c r="EE621" s="426"/>
      <c r="EF621" s="426"/>
      <c r="EG621" s="426"/>
      <c r="EH621" s="426"/>
      <c r="EI621" s="426"/>
      <c r="EJ621" s="426"/>
      <c r="EK621" s="426"/>
      <c r="EL621" s="426"/>
      <c r="EM621" s="426"/>
      <c r="EN621" s="426"/>
      <c r="EO621" s="426"/>
      <c r="EP621" s="426"/>
      <c r="EQ621" s="426"/>
      <c r="ER621" s="426"/>
      <c r="ES621" s="426"/>
      <c r="ET621" s="426"/>
      <c r="EU621" s="426"/>
      <c r="EV621" s="426"/>
      <c r="EW621" s="426"/>
      <c r="EX621" s="426"/>
      <c r="EY621" s="426"/>
      <c r="EZ621" s="426"/>
      <c r="FA621" s="426"/>
      <c r="FB621" s="426"/>
      <c r="FC621" s="426"/>
      <c r="FD621" s="426"/>
      <c r="FE621" s="426"/>
      <c r="FF621" s="426"/>
      <c r="FG621" s="426"/>
      <c r="FH621" s="426"/>
      <c r="FI621" s="426"/>
      <c r="FJ621" s="426"/>
      <c r="FK621" s="426"/>
      <c r="FL621" s="426"/>
      <c r="FM621" s="426"/>
      <c r="FN621" s="426"/>
      <c r="FO621" s="426"/>
      <c r="FP621" s="426"/>
      <c r="FQ621" s="426"/>
      <c r="FR621" s="426"/>
      <c r="FS621" s="426"/>
      <c r="FT621" s="426"/>
      <c r="FU621" s="426"/>
      <c r="FV621" s="426"/>
      <c r="FW621" s="426"/>
      <c r="FX621" s="426"/>
      <c r="FY621" s="426"/>
      <c r="FZ621" s="426"/>
      <c r="GA621" s="426"/>
      <c r="GB621" s="426"/>
      <c r="GC621" s="426"/>
      <c r="GD621" s="426"/>
      <c r="GE621" s="426"/>
      <c r="GF621" s="426"/>
      <c r="GG621" s="426"/>
      <c r="GH621" s="426"/>
      <c r="GI621" s="426"/>
      <c r="GJ621" s="426"/>
      <c r="GK621" s="426"/>
      <c r="GL621" s="426"/>
      <c r="GM621" s="426"/>
      <c r="GN621" s="426"/>
      <c r="GO621" s="426"/>
      <c r="GP621" s="426"/>
      <c r="GQ621" s="426"/>
      <c r="GR621" s="426"/>
      <c r="GS621" s="426"/>
      <c r="GT621" s="426"/>
      <c r="GU621" s="426"/>
      <c r="GV621" s="426"/>
      <c r="GW621" s="426"/>
      <c r="GX621" s="426"/>
      <c r="GY621" s="426"/>
      <c r="GZ621" s="426"/>
      <c r="HA621" s="426"/>
      <c r="HB621" s="426"/>
      <c r="HC621" s="426"/>
      <c r="HD621" s="426"/>
      <c r="HE621" s="426"/>
      <c r="HF621" s="426"/>
      <c r="HG621" s="426"/>
      <c r="HH621" s="426"/>
      <c r="HI621" s="426"/>
      <c r="HJ621" s="426"/>
      <c r="HK621" s="426"/>
      <c r="HL621" s="426"/>
      <c r="HM621" s="426"/>
      <c r="HN621" s="426"/>
      <c r="HO621" s="426"/>
      <c r="HP621" s="426"/>
      <c r="HQ621" s="426"/>
      <c r="HR621" s="426"/>
      <c r="HS621" s="426"/>
      <c r="HT621" s="426"/>
      <c r="HU621" s="426"/>
      <c r="HV621" s="426"/>
      <c r="HW621" s="426"/>
      <c r="HX621" s="426"/>
      <c r="HY621" s="426"/>
      <c r="HZ621" s="426"/>
      <c r="IA621" s="426"/>
      <c r="IB621" s="426"/>
      <c r="IC621" s="426"/>
      <c r="ID621" s="426"/>
      <c r="IE621" s="426"/>
      <c r="IF621" s="426"/>
      <c r="IG621" s="426"/>
      <c r="IH621" s="426"/>
      <c r="II621" s="426"/>
      <c r="IJ621" s="426"/>
      <c r="IK621" s="426"/>
      <c r="IL621" s="426"/>
      <c r="IM621" s="426"/>
      <c r="IN621" s="426"/>
      <c r="IO621" s="426"/>
      <c r="IP621" s="426"/>
      <c r="IQ621" s="426"/>
      <c r="IR621" s="426"/>
      <c r="IS621" s="426"/>
      <c r="IT621" s="426"/>
      <c r="IU621" s="426"/>
      <c r="IV621" s="426"/>
      <c r="IW621" s="426"/>
      <c r="IX621" s="426"/>
      <c r="IY621" s="426"/>
      <c r="IZ621" s="426"/>
      <c r="JA621" s="426"/>
      <c r="JB621" s="426"/>
      <c r="JC621" s="426"/>
      <c r="JD621" s="426"/>
      <c r="JE621" s="426"/>
      <c r="JF621" s="426"/>
      <c r="JG621" s="426"/>
      <c r="JH621" s="426"/>
      <c r="JI621" s="426"/>
      <c r="JJ621" s="426"/>
      <c r="JK621" s="426"/>
      <c r="JL621" s="426"/>
      <c r="JM621" s="426"/>
      <c r="JN621" s="426"/>
      <c r="JO621" s="426"/>
      <c r="JP621" s="426"/>
      <c r="JQ621" s="426"/>
      <c r="JR621" s="426"/>
      <c r="JS621" s="426"/>
      <c r="JT621" s="426"/>
      <c r="JU621" s="426"/>
      <c r="JV621" s="426"/>
      <c r="JW621" s="426"/>
      <c r="JX621" s="426"/>
      <c r="JY621" s="475"/>
    </row>
    <row r="622" spans="1:285" s="453" customFormat="1" ht="21" customHeight="1" x14ac:dyDescent="0.25">
      <c r="A622" s="463"/>
      <c r="B622" s="436" t="s">
        <v>1590</v>
      </c>
      <c r="C622" s="745" t="s">
        <v>92</v>
      </c>
      <c r="D622" s="746" t="s">
        <v>155</v>
      </c>
      <c r="E622" s="785">
        <v>70630</v>
      </c>
      <c r="F622" s="747" t="s">
        <v>1048</v>
      </c>
      <c r="G622" s="451">
        <v>14334000</v>
      </c>
      <c r="H622" s="451">
        <f>1194500*12</f>
        <v>14334000</v>
      </c>
      <c r="I622" s="425"/>
      <c r="J622" s="425"/>
      <c r="K622" s="426"/>
      <c r="L622" s="426"/>
      <c r="M622" s="426"/>
      <c r="N622" s="426"/>
      <c r="O622" s="426"/>
      <c r="P622" s="426"/>
      <c r="Q622" s="426"/>
      <c r="R622" s="426"/>
      <c r="S622" s="426"/>
      <c r="T622" s="426"/>
      <c r="U622" s="426"/>
      <c r="V622" s="426"/>
      <c r="W622" s="426"/>
      <c r="X622" s="426"/>
      <c r="Y622" s="426"/>
      <c r="Z622" s="426"/>
      <c r="AA622" s="426"/>
      <c r="AB622" s="426"/>
      <c r="AC622" s="426"/>
      <c r="AD622" s="426"/>
      <c r="AE622" s="426"/>
      <c r="AF622" s="426"/>
      <c r="AG622" s="426"/>
      <c r="AH622" s="426"/>
      <c r="AI622" s="426"/>
      <c r="AJ622" s="426"/>
      <c r="AK622" s="426"/>
      <c r="AL622" s="426"/>
      <c r="AM622" s="426"/>
      <c r="AN622" s="426"/>
      <c r="AO622" s="426"/>
      <c r="AP622" s="426"/>
      <c r="AQ622" s="426"/>
      <c r="AR622" s="426"/>
      <c r="AS622" s="426"/>
      <c r="AT622" s="426"/>
      <c r="AU622" s="426"/>
      <c r="AV622" s="426"/>
      <c r="AW622" s="426"/>
      <c r="AX622" s="426"/>
      <c r="AY622" s="426"/>
      <c r="AZ622" s="426"/>
      <c r="BA622" s="426"/>
      <c r="BB622" s="426"/>
      <c r="BC622" s="426"/>
      <c r="BD622" s="426"/>
      <c r="BE622" s="426"/>
      <c r="BF622" s="426"/>
      <c r="BG622" s="426"/>
      <c r="BH622" s="426"/>
      <c r="BI622" s="426"/>
      <c r="BJ622" s="426"/>
      <c r="BK622" s="426"/>
      <c r="BL622" s="426"/>
      <c r="BM622" s="426"/>
      <c r="BN622" s="426"/>
      <c r="BO622" s="426"/>
      <c r="BP622" s="426"/>
      <c r="BQ622" s="426"/>
      <c r="BR622" s="426"/>
      <c r="BS622" s="426"/>
      <c r="BT622" s="426"/>
      <c r="BU622" s="426"/>
      <c r="BV622" s="426"/>
      <c r="BW622" s="426"/>
      <c r="BX622" s="426"/>
      <c r="BY622" s="426"/>
      <c r="BZ622" s="426"/>
      <c r="CA622" s="426"/>
      <c r="CB622" s="426"/>
      <c r="CC622" s="426"/>
      <c r="CD622" s="426"/>
      <c r="CE622" s="426"/>
      <c r="CF622" s="426"/>
      <c r="CG622" s="426"/>
      <c r="CH622" s="426"/>
      <c r="CI622" s="426"/>
      <c r="CJ622" s="426"/>
      <c r="CK622" s="426"/>
      <c r="CL622" s="426"/>
      <c r="CM622" s="426"/>
      <c r="CN622" s="426"/>
      <c r="CO622" s="426"/>
      <c r="CP622" s="426"/>
      <c r="CQ622" s="426"/>
      <c r="CR622" s="426"/>
      <c r="CS622" s="426"/>
      <c r="CT622" s="426"/>
      <c r="CU622" s="426"/>
      <c r="CV622" s="426"/>
      <c r="CW622" s="426"/>
      <c r="CX622" s="426"/>
      <c r="CY622" s="426"/>
      <c r="CZ622" s="426"/>
      <c r="DA622" s="426"/>
      <c r="DB622" s="426"/>
      <c r="DC622" s="426"/>
      <c r="DD622" s="426"/>
      <c r="DE622" s="426"/>
      <c r="DF622" s="426"/>
      <c r="DG622" s="426"/>
      <c r="DH622" s="426"/>
      <c r="DI622" s="426"/>
      <c r="DJ622" s="426"/>
      <c r="DK622" s="426"/>
      <c r="DL622" s="426"/>
      <c r="DM622" s="426"/>
      <c r="DN622" s="426"/>
      <c r="DO622" s="426"/>
      <c r="DP622" s="426"/>
      <c r="DQ622" s="426"/>
      <c r="DR622" s="426"/>
      <c r="DS622" s="426"/>
      <c r="DT622" s="426"/>
      <c r="DU622" s="426"/>
      <c r="DV622" s="426"/>
      <c r="DW622" s="426"/>
      <c r="DX622" s="426"/>
      <c r="DY622" s="426"/>
      <c r="DZ622" s="426"/>
      <c r="EA622" s="426"/>
      <c r="EB622" s="426"/>
      <c r="EC622" s="426"/>
      <c r="ED622" s="426"/>
      <c r="EE622" s="426"/>
      <c r="EF622" s="426"/>
      <c r="EG622" s="426"/>
      <c r="EH622" s="426"/>
      <c r="EI622" s="426"/>
      <c r="EJ622" s="426"/>
      <c r="EK622" s="426"/>
      <c r="EL622" s="426"/>
      <c r="EM622" s="426"/>
      <c r="EN622" s="426"/>
      <c r="EO622" s="426"/>
      <c r="EP622" s="426"/>
      <c r="EQ622" s="426"/>
      <c r="ER622" s="426"/>
      <c r="ES622" s="426"/>
      <c r="ET622" s="426"/>
      <c r="EU622" s="426"/>
      <c r="EV622" s="426"/>
      <c r="EW622" s="426"/>
      <c r="EX622" s="426"/>
      <c r="EY622" s="426"/>
      <c r="EZ622" s="426"/>
      <c r="FA622" s="426"/>
      <c r="FB622" s="426"/>
      <c r="FC622" s="426"/>
      <c r="FD622" s="426"/>
      <c r="FE622" s="426"/>
      <c r="FF622" s="426"/>
      <c r="FG622" s="426"/>
      <c r="FH622" s="426"/>
      <c r="FI622" s="426"/>
      <c r="FJ622" s="426"/>
      <c r="FK622" s="426"/>
      <c r="FL622" s="426"/>
      <c r="FM622" s="426"/>
      <c r="FN622" s="426"/>
      <c r="FO622" s="426"/>
      <c r="FP622" s="426"/>
      <c r="FQ622" s="426"/>
      <c r="FR622" s="426"/>
      <c r="FS622" s="426"/>
      <c r="FT622" s="426"/>
      <c r="FU622" s="426"/>
      <c r="FV622" s="426"/>
      <c r="FW622" s="426"/>
      <c r="FX622" s="426"/>
      <c r="FY622" s="426"/>
      <c r="FZ622" s="426"/>
      <c r="GA622" s="426"/>
      <c r="GB622" s="426"/>
      <c r="GC622" s="426"/>
      <c r="GD622" s="426"/>
      <c r="GE622" s="426"/>
      <c r="GF622" s="426"/>
      <c r="GG622" s="426"/>
      <c r="GH622" s="426"/>
      <c r="GI622" s="426"/>
      <c r="GJ622" s="426"/>
      <c r="GK622" s="426"/>
      <c r="GL622" s="426"/>
      <c r="GM622" s="426"/>
      <c r="GN622" s="426"/>
      <c r="GO622" s="426"/>
      <c r="GP622" s="426"/>
      <c r="GQ622" s="426"/>
      <c r="GR622" s="426"/>
      <c r="GS622" s="426"/>
      <c r="GT622" s="426"/>
      <c r="GU622" s="426"/>
      <c r="GV622" s="426"/>
      <c r="GW622" s="426"/>
      <c r="GX622" s="426"/>
      <c r="GY622" s="426"/>
      <c r="GZ622" s="426"/>
      <c r="HA622" s="426"/>
      <c r="HB622" s="426"/>
      <c r="HC622" s="426"/>
      <c r="HD622" s="426"/>
      <c r="HE622" s="426"/>
      <c r="HF622" s="426"/>
      <c r="HG622" s="426"/>
      <c r="HH622" s="426"/>
      <c r="HI622" s="426"/>
      <c r="HJ622" s="426"/>
      <c r="HK622" s="426"/>
      <c r="HL622" s="426"/>
      <c r="HM622" s="426"/>
      <c r="HN622" s="426"/>
      <c r="HO622" s="426"/>
      <c r="HP622" s="426"/>
      <c r="HQ622" s="426"/>
      <c r="HR622" s="426"/>
      <c r="HS622" s="426"/>
      <c r="HT622" s="426"/>
      <c r="HU622" s="426"/>
      <c r="HV622" s="426"/>
      <c r="HW622" s="426"/>
      <c r="HX622" s="426"/>
      <c r="HY622" s="426"/>
      <c r="HZ622" s="426"/>
      <c r="IA622" s="426"/>
      <c r="IB622" s="426"/>
      <c r="IC622" s="426"/>
      <c r="ID622" s="426"/>
      <c r="IE622" s="426"/>
      <c r="IF622" s="426"/>
      <c r="IG622" s="426"/>
      <c r="IH622" s="426"/>
      <c r="II622" s="426"/>
      <c r="IJ622" s="426"/>
      <c r="IK622" s="426"/>
      <c r="IL622" s="426"/>
      <c r="IM622" s="426"/>
      <c r="IN622" s="426"/>
      <c r="IO622" s="426"/>
      <c r="IP622" s="426"/>
      <c r="IQ622" s="426"/>
      <c r="IR622" s="426"/>
      <c r="IS622" s="426"/>
      <c r="IT622" s="426"/>
      <c r="IU622" s="426"/>
      <c r="IV622" s="426"/>
      <c r="IW622" s="426"/>
      <c r="IX622" s="426"/>
      <c r="IY622" s="426"/>
      <c r="IZ622" s="426"/>
      <c r="JA622" s="426"/>
      <c r="JB622" s="426"/>
      <c r="JC622" s="426"/>
      <c r="JD622" s="426"/>
      <c r="JE622" s="426"/>
      <c r="JF622" s="426"/>
      <c r="JG622" s="426"/>
      <c r="JH622" s="426"/>
      <c r="JI622" s="426"/>
      <c r="JJ622" s="426"/>
      <c r="JK622" s="426"/>
      <c r="JL622" s="426"/>
      <c r="JM622" s="426"/>
      <c r="JN622" s="426"/>
      <c r="JO622" s="426"/>
      <c r="JP622" s="426"/>
      <c r="JQ622" s="426"/>
      <c r="JR622" s="426"/>
      <c r="JS622" s="426"/>
      <c r="JT622" s="426"/>
      <c r="JU622" s="426"/>
      <c r="JV622" s="426"/>
      <c r="JW622" s="426"/>
      <c r="JX622" s="426"/>
      <c r="JY622" s="475"/>
    </row>
    <row r="623" spans="1:285" s="456" customFormat="1" ht="21" customHeight="1" x14ac:dyDescent="0.25">
      <c r="A623" s="463"/>
      <c r="B623" s="974" t="s">
        <v>1591</v>
      </c>
      <c r="C623" s="974"/>
      <c r="D623" s="974"/>
      <c r="E623" s="974"/>
      <c r="F623" s="974"/>
      <c r="G623" s="498">
        <f>SUM(G621:G622)</f>
        <v>19184000</v>
      </c>
      <c r="H623" s="473">
        <f>SUM(H621:H622)</f>
        <v>19184000</v>
      </c>
      <c r="I623" s="425"/>
      <c r="J623" s="425"/>
      <c r="K623" s="426"/>
      <c r="L623" s="426"/>
      <c r="M623" s="426"/>
      <c r="N623" s="426"/>
      <c r="O623" s="426"/>
      <c r="P623" s="426"/>
      <c r="Q623" s="426"/>
      <c r="R623" s="426"/>
      <c r="S623" s="426"/>
      <c r="T623" s="426"/>
      <c r="U623" s="426"/>
      <c r="V623" s="426"/>
      <c r="W623" s="426"/>
      <c r="X623" s="426"/>
      <c r="Y623" s="426"/>
      <c r="Z623" s="426"/>
      <c r="AA623" s="426"/>
      <c r="AB623" s="426"/>
      <c r="AC623" s="426"/>
      <c r="AD623" s="426"/>
      <c r="AE623" s="426"/>
      <c r="AF623" s="426"/>
      <c r="AG623" s="426"/>
      <c r="AH623" s="426"/>
      <c r="AI623" s="426"/>
      <c r="AJ623" s="426"/>
      <c r="AK623" s="426"/>
      <c r="AL623" s="426"/>
      <c r="AM623" s="426"/>
      <c r="AN623" s="426"/>
      <c r="AO623" s="426"/>
      <c r="AP623" s="426"/>
      <c r="AQ623" s="426"/>
      <c r="AR623" s="426"/>
      <c r="AS623" s="426"/>
      <c r="AT623" s="426"/>
      <c r="AU623" s="426"/>
      <c r="AV623" s="426"/>
      <c r="AW623" s="426"/>
      <c r="AX623" s="426"/>
      <c r="AY623" s="426"/>
      <c r="AZ623" s="426"/>
      <c r="BA623" s="426"/>
      <c r="BB623" s="426"/>
      <c r="BC623" s="426"/>
      <c r="BD623" s="426"/>
      <c r="BE623" s="426"/>
      <c r="BF623" s="426"/>
      <c r="BG623" s="426"/>
      <c r="BH623" s="426"/>
      <c r="BI623" s="426"/>
      <c r="BJ623" s="426"/>
      <c r="BK623" s="426"/>
      <c r="BL623" s="426"/>
      <c r="BM623" s="426"/>
      <c r="BN623" s="426"/>
      <c r="BO623" s="426"/>
      <c r="BP623" s="426"/>
      <c r="BQ623" s="426"/>
      <c r="BR623" s="426"/>
      <c r="BS623" s="426"/>
      <c r="BT623" s="426"/>
      <c r="BU623" s="426"/>
      <c r="BV623" s="426"/>
      <c r="BW623" s="426"/>
      <c r="BX623" s="426"/>
      <c r="BY623" s="426"/>
      <c r="BZ623" s="426"/>
      <c r="CA623" s="426"/>
      <c r="CB623" s="426"/>
      <c r="CC623" s="426"/>
      <c r="CD623" s="426"/>
      <c r="CE623" s="426"/>
      <c r="CF623" s="426"/>
      <c r="CG623" s="426"/>
      <c r="CH623" s="426"/>
      <c r="CI623" s="426"/>
      <c r="CJ623" s="426"/>
      <c r="CK623" s="426"/>
      <c r="CL623" s="426"/>
      <c r="CM623" s="426"/>
      <c r="CN623" s="426"/>
      <c r="CO623" s="426"/>
      <c r="CP623" s="426"/>
      <c r="CQ623" s="426"/>
      <c r="CR623" s="426"/>
      <c r="CS623" s="426"/>
      <c r="CT623" s="426"/>
      <c r="CU623" s="426"/>
      <c r="CV623" s="426"/>
      <c r="CW623" s="426"/>
      <c r="CX623" s="426"/>
      <c r="CY623" s="426"/>
      <c r="CZ623" s="426"/>
      <c r="DA623" s="426"/>
      <c r="DB623" s="426"/>
      <c r="DC623" s="426"/>
      <c r="DD623" s="426"/>
      <c r="DE623" s="426"/>
      <c r="DF623" s="426"/>
      <c r="DG623" s="426"/>
      <c r="DH623" s="426"/>
      <c r="DI623" s="426"/>
      <c r="DJ623" s="426"/>
      <c r="DK623" s="426"/>
      <c r="DL623" s="426"/>
      <c r="DM623" s="426"/>
      <c r="DN623" s="426"/>
      <c r="DO623" s="426"/>
      <c r="DP623" s="426"/>
      <c r="DQ623" s="426"/>
      <c r="DR623" s="426"/>
      <c r="DS623" s="426"/>
      <c r="DT623" s="426"/>
      <c r="DU623" s="426"/>
      <c r="DV623" s="426"/>
      <c r="DW623" s="426"/>
      <c r="DX623" s="426"/>
      <c r="DY623" s="426"/>
      <c r="DZ623" s="426"/>
      <c r="EA623" s="426"/>
      <c r="EB623" s="426"/>
      <c r="EC623" s="426"/>
      <c r="ED623" s="426"/>
      <c r="EE623" s="426"/>
      <c r="EF623" s="426"/>
      <c r="EG623" s="426"/>
      <c r="EH623" s="426"/>
      <c r="EI623" s="426"/>
      <c r="EJ623" s="426"/>
      <c r="EK623" s="426"/>
      <c r="EL623" s="426"/>
      <c r="EM623" s="426"/>
      <c r="EN623" s="426"/>
      <c r="EO623" s="426"/>
      <c r="EP623" s="426"/>
      <c r="EQ623" s="426"/>
      <c r="ER623" s="426"/>
      <c r="ES623" s="426"/>
      <c r="ET623" s="426"/>
      <c r="EU623" s="426"/>
      <c r="EV623" s="426"/>
      <c r="EW623" s="426"/>
      <c r="EX623" s="426"/>
      <c r="EY623" s="426"/>
      <c r="EZ623" s="426"/>
      <c r="FA623" s="426"/>
      <c r="FB623" s="426"/>
      <c r="FC623" s="426"/>
      <c r="FD623" s="426"/>
      <c r="FE623" s="426"/>
      <c r="FF623" s="426"/>
      <c r="FG623" s="426"/>
      <c r="FH623" s="426"/>
      <c r="FI623" s="426"/>
      <c r="FJ623" s="426"/>
      <c r="FK623" s="426"/>
      <c r="FL623" s="426"/>
      <c r="FM623" s="426"/>
      <c r="FN623" s="426"/>
      <c r="FO623" s="426"/>
      <c r="FP623" s="426"/>
      <c r="FQ623" s="426"/>
      <c r="FR623" s="426"/>
      <c r="FS623" s="426"/>
      <c r="FT623" s="426"/>
      <c r="FU623" s="426"/>
      <c r="FV623" s="426"/>
      <c r="FW623" s="426"/>
      <c r="FX623" s="426"/>
      <c r="FY623" s="426"/>
      <c r="FZ623" s="426"/>
      <c r="GA623" s="426"/>
      <c r="GB623" s="426"/>
      <c r="GC623" s="426"/>
      <c r="GD623" s="426"/>
      <c r="GE623" s="426"/>
      <c r="GF623" s="426"/>
      <c r="GG623" s="426"/>
      <c r="GH623" s="426"/>
      <c r="GI623" s="426"/>
      <c r="GJ623" s="426"/>
      <c r="GK623" s="426"/>
      <c r="GL623" s="426"/>
      <c r="GM623" s="426"/>
      <c r="GN623" s="426"/>
      <c r="GO623" s="426"/>
      <c r="GP623" s="426"/>
      <c r="GQ623" s="426"/>
      <c r="GR623" s="426"/>
      <c r="GS623" s="426"/>
      <c r="GT623" s="426"/>
      <c r="GU623" s="426"/>
      <c r="GV623" s="426"/>
      <c r="GW623" s="426"/>
      <c r="GX623" s="426"/>
      <c r="GY623" s="426"/>
      <c r="GZ623" s="426"/>
      <c r="HA623" s="426"/>
      <c r="HB623" s="426"/>
      <c r="HC623" s="426"/>
      <c r="HD623" s="426"/>
      <c r="HE623" s="426"/>
      <c r="HF623" s="426"/>
      <c r="HG623" s="426"/>
      <c r="HH623" s="426"/>
      <c r="HI623" s="426"/>
      <c r="HJ623" s="426"/>
      <c r="HK623" s="426"/>
      <c r="HL623" s="426"/>
      <c r="HM623" s="426"/>
      <c r="HN623" s="426"/>
      <c r="HO623" s="426"/>
      <c r="HP623" s="426"/>
      <c r="HQ623" s="426"/>
      <c r="HR623" s="426"/>
      <c r="HS623" s="426"/>
      <c r="HT623" s="426"/>
      <c r="HU623" s="426"/>
      <c r="HV623" s="426"/>
      <c r="HW623" s="426"/>
      <c r="HX623" s="426"/>
      <c r="HY623" s="426"/>
      <c r="HZ623" s="426"/>
      <c r="IA623" s="426"/>
      <c r="IB623" s="426"/>
      <c r="IC623" s="426"/>
      <c r="ID623" s="426"/>
      <c r="IE623" s="426"/>
      <c r="IF623" s="426"/>
      <c r="IG623" s="426"/>
      <c r="IH623" s="426"/>
      <c r="II623" s="426"/>
      <c r="IJ623" s="426"/>
      <c r="IK623" s="426"/>
      <c r="IL623" s="426"/>
      <c r="IM623" s="426"/>
      <c r="IN623" s="426"/>
      <c r="IO623" s="426"/>
      <c r="IP623" s="426"/>
      <c r="IQ623" s="426"/>
      <c r="IR623" s="426"/>
      <c r="IS623" s="426"/>
      <c r="IT623" s="426"/>
      <c r="IU623" s="426"/>
      <c r="IV623" s="426"/>
      <c r="IW623" s="426"/>
      <c r="IX623" s="426"/>
      <c r="IY623" s="426"/>
      <c r="IZ623" s="426"/>
      <c r="JA623" s="426"/>
      <c r="JB623" s="426"/>
      <c r="JC623" s="426"/>
      <c r="JD623" s="426"/>
      <c r="JE623" s="426"/>
      <c r="JF623" s="426"/>
      <c r="JG623" s="426"/>
      <c r="JH623" s="426"/>
      <c r="JI623" s="426"/>
      <c r="JJ623" s="426"/>
      <c r="JK623" s="426"/>
      <c r="JL623" s="426"/>
      <c r="JM623" s="426"/>
      <c r="JN623" s="426"/>
      <c r="JO623" s="426"/>
      <c r="JP623" s="426"/>
      <c r="JQ623" s="426"/>
      <c r="JR623" s="426"/>
      <c r="JS623" s="426"/>
      <c r="JT623" s="426"/>
      <c r="JU623" s="426"/>
      <c r="JV623" s="426"/>
      <c r="JW623" s="426"/>
      <c r="JX623" s="426"/>
    </row>
    <row r="624" spans="1:285" s="456" customFormat="1" ht="32.25" customHeight="1" x14ac:dyDescent="0.25">
      <c r="A624" s="463"/>
      <c r="B624" s="752" t="s">
        <v>960</v>
      </c>
      <c r="C624" s="772"/>
      <c r="D624" s="772"/>
      <c r="E624" s="753"/>
      <c r="F624" s="753"/>
      <c r="G624" s="753"/>
      <c r="H624" s="463"/>
      <c r="I624" s="425"/>
      <c r="J624" s="425"/>
      <c r="K624" s="426"/>
      <c r="L624" s="426"/>
      <c r="M624" s="426"/>
      <c r="N624" s="426"/>
      <c r="O624" s="426"/>
      <c r="P624" s="426"/>
      <c r="Q624" s="426"/>
      <c r="R624" s="426"/>
      <c r="S624" s="426"/>
      <c r="T624" s="426"/>
      <c r="U624" s="426"/>
      <c r="V624" s="426"/>
      <c r="W624" s="426"/>
      <c r="X624" s="426"/>
      <c r="Y624" s="426"/>
      <c r="Z624" s="426"/>
      <c r="AA624" s="426"/>
      <c r="AB624" s="426"/>
      <c r="AC624" s="426"/>
      <c r="AD624" s="426"/>
      <c r="AE624" s="426"/>
      <c r="AF624" s="426"/>
      <c r="AG624" s="426"/>
      <c r="AH624" s="426"/>
      <c r="AI624" s="426"/>
      <c r="AJ624" s="426"/>
      <c r="AK624" s="426"/>
      <c r="AL624" s="426"/>
      <c r="AM624" s="426"/>
      <c r="AN624" s="426"/>
      <c r="AO624" s="426"/>
      <c r="AP624" s="426"/>
      <c r="AQ624" s="426"/>
      <c r="AR624" s="426"/>
      <c r="AS624" s="426"/>
      <c r="AT624" s="426"/>
      <c r="AU624" s="426"/>
      <c r="AV624" s="426"/>
      <c r="AW624" s="426"/>
      <c r="AX624" s="426"/>
      <c r="AY624" s="426"/>
      <c r="AZ624" s="426"/>
      <c r="BA624" s="426"/>
      <c r="BB624" s="426"/>
      <c r="BC624" s="426"/>
      <c r="BD624" s="426"/>
      <c r="BE624" s="426"/>
      <c r="BF624" s="426"/>
      <c r="BG624" s="426"/>
      <c r="BH624" s="426"/>
      <c r="BI624" s="426"/>
      <c r="BJ624" s="426"/>
      <c r="BK624" s="426"/>
      <c r="BL624" s="426"/>
      <c r="BM624" s="426"/>
      <c r="BN624" s="426"/>
      <c r="BO624" s="426"/>
      <c r="BP624" s="426"/>
      <c r="BQ624" s="426"/>
      <c r="BR624" s="426"/>
      <c r="BS624" s="426"/>
      <c r="BT624" s="426"/>
      <c r="BU624" s="426"/>
      <c r="BV624" s="426"/>
      <c r="BW624" s="426"/>
      <c r="BX624" s="426"/>
      <c r="BY624" s="426"/>
      <c r="BZ624" s="426"/>
      <c r="CA624" s="426"/>
      <c r="CB624" s="426"/>
      <c r="CC624" s="426"/>
      <c r="CD624" s="426"/>
      <c r="CE624" s="426"/>
      <c r="CF624" s="426"/>
      <c r="CG624" s="426"/>
      <c r="CH624" s="426"/>
      <c r="CI624" s="426"/>
      <c r="CJ624" s="426"/>
      <c r="CK624" s="426"/>
      <c r="CL624" s="426"/>
      <c r="CM624" s="426"/>
      <c r="CN624" s="426"/>
      <c r="CO624" s="426"/>
      <c r="CP624" s="426"/>
      <c r="CQ624" s="426"/>
      <c r="CR624" s="426"/>
      <c r="CS624" s="426"/>
      <c r="CT624" s="426"/>
      <c r="CU624" s="426"/>
      <c r="CV624" s="426"/>
      <c r="CW624" s="426"/>
      <c r="CX624" s="426"/>
      <c r="CY624" s="426"/>
      <c r="CZ624" s="426"/>
      <c r="DA624" s="426"/>
      <c r="DB624" s="426"/>
      <c r="DC624" s="426"/>
      <c r="DD624" s="426"/>
      <c r="DE624" s="426"/>
      <c r="DF624" s="426"/>
      <c r="DG624" s="426"/>
      <c r="DH624" s="426"/>
      <c r="DI624" s="426"/>
      <c r="DJ624" s="426"/>
      <c r="DK624" s="426"/>
      <c r="DL624" s="426"/>
      <c r="DM624" s="426"/>
      <c r="DN624" s="426"/>
      <c r="DO624" s="426"/>
      <c r="DP624" s="426"/>
      <c r="DQ624" s="426"/>
      <c r="DR624" s="426"/>
      <c r="DS624" s="426"/>
      <c r="DT624" s="426"/>
      <c r="DU624" s="426"/>
      <c r="DV624" s="426"/>
      <c r="DW624" s="426"/>
      <c r="DX624" s="426"/>
      <c r="DY624" s="426"/>
      <c r="DZ624" s="426"/>
      <c r="EA624" s="426"/>
      <c r="EB624" s="426"/>
      <c r="EC624" s="426"/>
      <c r="ED624" s="426"/>
      <c r="EE624" s="426"/>
      <c r="EF624" s="426"/>
      <c r="EG624" s="426"/>
      <c r="EH624" s="426"/>
      <c r="EI624" s="426"/>
      <c r="EJ624" s="426"/>
      <c r="EK624" s="426"/>
      <c r="EL624" s="426"/>
      <c r="EM624" s="426"/>
      <c r="EN624" s="426"/>
      <c r="EO624" s="426"/>
      <c r="EP624" s="426"/>
      <c r="EQ624" s="426"/>
      <c r="ER624" s="426"/>
      <c r="ES624" s="426"/>
      <c r="ET624" s="426"/>
      <c r="EU624" s="426"/>
      <c r="EV624" s="426"/>
      <c r="EW624" s="426"/>
      <c r="EX624" s="426"/>
      <c r="EY624" s="426"/>
      <c r="EZ624" s="426"/>
      <c r="FA624" s="426"/>
      <c r="FB624" s="426"/>
      <c r="FC624" s="426"/>
      <c r="FD624" s="426"/>
      <c r="FE624" s="426"/>
      <c r="FF624" s="426"/>
      <c r="FG624" s="426"/>
      <c r="FH624" s="426"/>
      <c r="FI624" s="426"/>
      <c r="FJ624" s="426"/>
      <c r="FK624" s="426"/>
      <c r="FL624" s="426"/>
      <c r="FM624" s="426"/>
      <c r="FN624" s="426"/>
      <c r="FO624" s="426"/>
      <c r="FP624" s="426"/>
      <c r="FQ624" s="426"/>
      <c r="FR624" s="426"/>
      <c r="FS624" s="426"/>
      <c r="FT624" s="426"/>
      <c r="FU624" s="426"/>
      <c r="FV624" s="426"/>
      <c r="FW624" s="426"/>
      <c r="FX624" s="426"/>
      <c r="FY624" s="426"/>
      <c r="FZ624" s="426"/>
      <c r="GA624" s="426"/>
      <c r="GB624" s="426"/>
      <c r="GC624" s="426"/>
      <c r="GD624" s="426"/>
      <c r="GE624" s="426"/>
      <c r="GF624" s="426"/>
      <c r="GG624" s="426"/>
      <c r="GH624" s="426"/>
      <c r="GI624" s="426"/>
      <c r="GJ624" s="426"/>
      <c r="GK624" s="426"/>
      <c r="GL624" s="426"/>
      <c r="GM624" s="426"/>
      <c r="GN624" s="426"/>
      <c r="GO624" s="426"/>
      <c r="GP624" s="426"/>
      <c r="GQ624" s="426"/>
      <c r="GR624" s="426"/>
      <c r="GS624" s="426"/>
      <c r="GT624" s="426"/>
      <c r="GU624" s="426"/>
      <c r="GV624" s="426"/>
      <c r="GW624" s="426"/>
      <c r="GX624" s="426"/>
      <c r="GY624" s="426"/>
      <c r="GZ624" s="426"/>
      <c r="HA624" s="426"/>
      <c r="HB624" s="426"/>
      <c r="HC624" s="426"/>
      <c r="HD624" s="426"/>
      <c r="HE624" s="426"/>
      <c r="HF624" s="426"/>
      <c r="HG624" s="426"/>
      <c r="HH624" s="426"/>
      <c r="HI624" s="426"/>
      <c r="HJ624" s="426"/>
      <c r="HK624" s="426"/>
      <c r="HL624" s="426"/>
      <c r="HM624" s="426"/>
      <c r="HN624" s="426"/>
      <c r="HO624" s="426"/>
      <c r="HP624" s="426"/>
      <c r="HQ624" s="426"/>
      <c r="HR624" s="426"/>
      <c r="HS624" s="426"/>
      <c r="HT624" s="426"/>
      <c r="HU624" s="426"/>
      <c r="HV624" s="426"/>
      <c r="HW624" s="426"/>
      <c r="HX624" s="426"/>
      <c r="HY624" s="426"/>
      <c r="HZ624" s="426"/>
      <c r="IA624" s="426"/>
      <c r="IB624" s="426"/>
      <c r="IC624" s="426"/>
      <c r="ID624" s="426"/>
      <c r="IE624" s="426"/>
      <c r="IF624" s="426"/>
      <c r="IG624" s="426"/>
      <c r="IH624" s="426"/>
      <c r="II624" s="426"/>
      <c r="IJ624" s="426"/>
      <c r="IK624" s="426"/>
      <c r="IL624" s="426"/>
      <c r="IM624" s="426"/>
      <c r="IN624" s="426"/>
      <c r="IO624" s="426"/>
      <c r="IP624" s="426"/>
      <c r="IQ624" s="426"/>
      <c r="IR624" s="426"/>
      <c r="IS624" s="426"/>
      <c r="IT624" s="426"/>
      <c r="IU624" s="426"/>
      <c r="IV624" s="426"/>
      <c r="IW624" s="426"/>
      <c r="IX624" s="426"/>
      <c r="IY624" s="426"/>
      <c r="IZ624" s="426"/>
      <c r="JA624" s="426"/>
      <c r="JB624" s="426"/>
      <c r="JC624" s="426"/>
      <c r="JD624" s="426"/>
      <c r="JE624" s="426"/>
      <c r="JF624" s="426"/>
      <c r="JG624" s="426"/>
      <c r="JH624" s="426"/>
      <c r="JI624" s="426"/>
      <c r="JJ624" s="426"/>
      <c r="JK624" s="426"/>
      <c r="JL624" s="426"/>
      <c r="JM624" s="426"/>
      <c r="JN624" s="426"/>
      <c r="JO624" s="426"/>
      <c r="JP624" s="426"/>
      <c r="JQ624" s="426"/>
      <c r="JR624" s="426"/>
      <c r="JS624" s="426"/>
      <c r="JT624" s="426"/>
      <c r="JU624" s="426"/>
      <c r="JV624" s="426"/>
      <c r="JW624" s="426"/>
      <c r="JX624" s="426"/>
    </row>
    <row r="625" spans="1:285" ht="21" customHeight="1" x14ac:dyDescent="0.25">
      <c r="A625" s="463"/>
      <c r="B625" s="436" t="s">
        <v>1592</v>
      </c>
      <c r="C625" s="745" t="s">
        <v>92</v>
      </c>
      <c r="D625" s="746" t="s">
        <v>403</v>
      </c>
      <c r="E625" s="785"/>
      <c r="F625" s="747"/>
      <c r="G625" s="451">
        <v>0</v>
      </c>
      <c r="H625" s="451">
        <v>1000000</v>
      </c>
    </row>
    <row r="626" spans="1:285" ht="21" customHeight="1" x14ac:dyDescent="0.25">
      <c r="A626" s="463"/>
      <c r="B626" s="430" t="s">
        <v>1593</v>
      </c>
      <c r="C626" s="745" t="s">
        <v>92</v>
      </c>
      <c r="D626" s="712" t="s">
        <v>403</v>
      </c>
      <c r="E626" s="783">
        <v>70630</v>
      </c>
      <c r="F626" s="713" t="s">
        <v>1048</v>
      </c>
      <c r="G626" s="462">
        <v>36000000</v>
      </c>
      <c r="H626" s="462">
        <v>36000000</v>
      </c>
    </row>
    <row r="627" spans="1:285" s="477" customFormat="1" ht="21" customHeight="1" x14ac:dyDescent="0.25">
      <c r="A627" s="463"/>
      <c r="B627" s="436" t="s">
        <v>1594</v>
      </c>
      <c r="C627" s="745" t="s">
        <v>92</v>
      </c>
      <c r="D627" s="746" t="s">
        <v>403</v>
      </c>
      <c r="E627" s="785">
        <v>70630</v>
      </c>
      <c r="F627" s="747" t="s">
        <v>1048</v>
      </c>
      <c r="G627" s="451">
        <v>4800000</v>
      </c>
      <c r="H627" s="451">
        <v>4800000</v>
      </c>
      <c r="I627" s="425"/>
      <c r="J627" s="425"/>
      <c r="K627" s="426"/>
      <c r="L627" s="426"/>
      <c r="M627" s="426"/>
      <c r="N627" s="426"/>
      <c r="O627" s="426"/>
      <c r="P627" s="426"/>
      <c r="Q627" s="426"/>
      <c r="R627" s="426"/>
      <c r="S627" s="426"/>
      <c r="T627" s="426"/>
      <c r="U627" s="426"/>
      <c r="V627" s="426"/>
      <c r="W627" s="426"/>
      <c r="X627" s="426"/>
      <c r="Y627" s="426"/>
      <c r="Z627" s="426"/>
      <c r="AA627" s="426"/>
      <c r="AB627" s="426"/>
      <c r="AC627" s="426"/>
      <c r="AD627" s="426"/>
      <c r="AE627" s="426"/>
      <c r="AF627" s="426"/>
      <c r="AG627" s="426"/>
      <c r="AH627" s="426"/>
      <c r="AI627" s="426"/>
      <c r="AJ627" s="426"/>
      <c r="AK627" s="426"/>
      <c r="AL627" s="426"/>
      <c r="AM627" s="426"/>
      <c r="AN627" s="426"/>
      <c r="AO627" s="426"/>
      <c r="AP627" s="426"/>
      <c r="AQ627" s="426"/>
      <c r="AR627" s="426"/>
      <c r="AS627" s="426"/>
      <c r="AT627" s="426"/>
      <c r="AU627" s="426"/>
      <c r="AV627" s="426"/>
      <c r="AW627" s="426"/>
      <c r="AX627" s="426"/>
      <c r="AY627" s="426"/>
      <c r="AZ627" s="426"/>
      <c r="BA627" s="426"/>
      <c r="BB627" s="426"/>
      <c r="BC627" s="426"/>
      <c r="BD627" s="426"/>
      <c r="BE627" s="426"/>
      <c r="BF627" s="426"/>
      <c r="BG627" s="426"/>
      <c r="BH627" s="426"/>
      <c r="BI627" s="426"/>
      <c r="BJ627" s="426"/>
      <c r="BK627" s="426"/>
      <c r="BL627" s="426"/>
      <c r="BM627" s="426"/>
      <c r="BN627" s="426"/>
      <c r="BO627" s="426"/>
      <c r="BP627" s="426"/>
      <c r="BQ627" s="426"/>
      <c r="BR627" s="426"/>
      <c r="BS627" s="426"/>
      <c r="BT627" s="426"/>
      <c r="BU627" s="426"/>
      <c r="BV627" s="426"/>
      <c r="BW627" s="426"/>
      <c r="BX627" s="426"/>
      <c r="BY627" s="426"/>
      <c r="BZ627" s="426"/>
      <c r="CA627" s="426"/>
      <c r="CB627" s="426"/>
      <c r="CC627" s="426"/>
      <c r="CD627" s="426"/>
      <c r="CE627" s="426"/>
      <c r="CF627" s="426"/>
      <c r="CG627" s="426"/>
      <c r="CH627" s="426"/>
      <c r="CI627" s="426"/>
      <c r="CJ627" s="426"/>
      <c r="CK627" s="426"/>
      <c r="CL627" s="426"/>
      <c r="CM627" s="426"/>
      <c r="CN627" s="426"/>
      <c r="CO627" s="426"/>
      <c r="CP627" s="426"/>
      <c r="CQ627" s="426"/>
      <c r="CR627" s="426"/>
      <c r="CS627" s="426"/>
      <c r="CT627" s="426"/>
      <c r="CU627" s="426"/>
      <c r="CV627" s="426"/>
      <c r="CW627" s="426"/>
      <c r="CX627" s="426"/>
      <c r="CY627" s="426"/>
      <c r="CZ627" s="426"/>
      <c r="DA627" s="426"/>
      <c r="DB627" s="426"/>
      <c r="DC627" s="426"/>
      <c r="DD627" s="426"/>
      <c r="DE627" s="426"/>
      <c r="DF627" s="426"/>
      <c r="DG627" s="426"/>
      <c r="DH627" s="426"/>
      <c r="DI627" s="426"/>
      <c r="DJ627" s="426"/>
      <c r="DK627" s="426"/>
      <c r="DL627" s="426"/>
      <c r="DM627" s="426"/>
      <c r="DN627" s="426"/>
      <c r="DO627" s="426"/>
      <c r="DP627" s="426"/>
      <c r="DQ627" s="426"/>
      <c r="DR627" s="426"/>
      <c r="DS627" s="426"/>
      <c r="DT627" s="426"/>
      <c r="DU627" s="426"/>
      <c r="DV627" s="426"/>
      <c r="DW627" s="426"/>
      <c r="DX627" s="426"/>
      <c r="DY627" s="426"/>
      <c r="DZ627" s="426"/>
      <c r="EA627" s="426"/>
      <c r="EB627" s="426"/>
      <c r="EC627" s="426"/>
      <c r="ED627" s="426"/>
      <c r="EE627" s="426"/>
      <c r="EF627" s="426"/>
      <c r="EG627" s="426"/>
      <c r="EH627" s="426"/>
      <c r="EI627" s="426"/>
      <c r="EJ627" s="426"/>
      <c r="EK627" s="426"/>
      <c r="EL627" s="426"/>
      <c r="EM627" s="426"/>
      <c r="EN627" s="426"/>
      <c r="EO627" s="426"/>
      <c r="EP627" s="426"/>
      <c r="EQ627" s="426"/>
      <c r="ER627" s="426"/>
      <c r="ES627" s="426"/>
      <c r="ET627" s="426"/>
      <c r="EU627" s="426"/>
      <c r="EV627" s="426"/>
      <c r="EW627" s="426"/>
      <c r="EX627" s="426"/>
      <c r="EY627" s="426"/>
      <c r="EZ627" s="426"/>
      <c r="FA627" s="426"/>
      <c r="FB627" s="426"/>
      <c r="FC627" s="426"/>
      <c r="FD627" s="426"/>
      <c r="FE627" s="426"/>
      <c r="FF627" s="426"/>
      <c r="FG627" s="426"/>
      <c r="FH627" s="426"/>
      <c r="FI627" s="426"/>
      <c r="FJ627" s="426"/>
      <c r="FK627" s="426"/>
      <c r="FL627" s="426"/>
      <c r="FM627" s="426"/>
      <c r="FN627" s="426"/>
      <c r="FO627" s="426"/>
      <c r="FP627" s="426"/>
      <c r="FQ627" s="426"/>
      <c r="FR627" s="426"/>
      <c r="FS627" s="426"/>
      <c r="FT627" s="426"/>
      <c r="FU627" s="426"/>
      <c r="FV627" s="426"/>
      <c r="FW627" s="426"/>
      <c r="FX627" s="426"/>
      <c r="FY627" s="426"/>
      <c r="FZ627" s="426"/>
      <c r="GA627" s="426"/>
      <c r="GB627" s="426"/>
      <c r="GC627" s="426"/>
      <c r="GD627" s="426"/>
      <c r="GE627" s="426"/>
      <c r="GF627" s="426"/>
      <c r="GG627" s="426"/>
      <c r="GH627" s="426"/>
      <c r="GI627" s="426"/>
      <c r="GJ627" s="426"/>
      <c r="GK627" s="426"/>
      <c r="GL627" s="426"/>
      <c r="GM627" s="426"/>
      <c r="GN627" s="426"/>
      <c r="GO627" s="426"/>
      <c r="GP627" s="426"/>
      <c r="GQ627" s="426"/>
      <c r="GR627" s="426"/>
      <c r="GS627" s="426"/>
      <c r="GT627" s="426"/>
      <c r="GU627" s="426"/>
      <c r="GV627" s="426"/>
      <c r="GW627" s="426"/>
      <c r="GX627" s="426"/>
      <c r="GY627" s="426"/>
      <c r="GZ627" s="426"/>
      <c r="HA627" s="426"/>
      <c r="HB627" s="426"/>
      <c r="HC627" s="426"/>
      <c r="HD627" s="426"/>
      <c r="HE627" s="426"/>
      <c r="HF627" s="426"/>
      <c r="HG627" s="426"/>
      <c r="HH627" s="426"/>
      <c r="HI627" s="426"/>
      <c r="HJ627" s="426"/>
      <c r="HK627" s="426"/>
      <c r="HL627" s="426"/>
      <c r="HM627" s="426"/>
      <c r="HN627" s="426"/>
      <c r="HO627" s="426"/>
      <c r="HP627" s="426"/>
      <c r="HQ627" s="426"/>
      <c r="HR627" s="426"/>
      <c r="HS627" s="426"/>
      <c r="HT627" s="426"/>
      <c r="HU627" s="426"/>
      <c r="HV627" s="426"/>
      <c r="HW627" s="426"/>
      <c r="HX627" s="426"/>
      <c r="HY627" s="426"/>
      <c r="HZ627" s="426"/>
      <c r="IA627" s="426"/>
      <c r="IB627" s="426"/>
      <c r="IC627" s="426"/>
      <c r="ID627" s="426"/>
      <c r="IE627" s="426"/>
      <c r="IF627" s="426"/>
      <c r="IG627" s="426"/>
      <c r="IH627" s="426"/>
      <c r="II627" s="426"/>
      <c r="IJ627" s="426"/>
      <c r="IK627" s="426"/>
      <c r="IL627" s="426"/>
      <c r="IM627" s="426"/>
      <c r="IN627" s="426"/>
      <c r="IO627" s="426"/>
      <c r="IP627" s="426"/>
      <c r="IQ627" s="426"/>
      <c r="IR627" s="426"/>
      <c r="IS627" s="426"/>
      <c r="IT627" s="426"/>
      <c r="IU627" s="426"/>
      <c r="IV627" s="426"/>
      <c r="IW627" s="426"/>
      <c r="IX627" s="426"/>
      <c r="IY627" s="426"/>
      <c r="IZ627" s="426"/>
      <c r="JA627" s="426"/>
      <c r="JB627" s="426"/>
      <c r="JC627" s="426"/>
      <c r="JD627" s="426"/>
      <c r="JE627" s="426"/>
      <c r="JF627" s="426"/>
      <c r="JG627" s="426"/>
      <c r="JH627" s="426"/>
      <c r="JI627" s="426"/>
      <c r="JJ627" s="426"/>
      <c r="JK627" s="426"/>
      <c r="JL627" s="426"/>
      <c r="JM627" s="426"/>
      <c r="JN627" s="426"/>
      <c r="JO627" s="426"/>
      <c r="JP627" s="426"/>
      <c r="JQ627" s="426"/>
      <c r="JR627" s="426"/>
      <c r="JS627" s="426"/>
      <c r="JT627" s="426"/>
      <c r="JU627" s="426"/>
      <c r="JV627" s="426"/>
      <c r="JW627" s="426"/>
      <c r="JX627" s="426"/>
      <c r="JY627" s="476"/>
    </row>
    <row r="628" spans="1:285" s="456" customFormat="1" ht="21" customHeight="1" x14ac:dyDescent="0.25">
      <c r="A628" s="463"/>
      <c r="B628" s="870" t="s">
        <v>117</v>
      </c>
      <c r="C628" s="705"/>
      <c r="D628" s="705"/>
      <c r="E628" s="870"/>
      <c r="F628" s="870"/>
      <c r="G628" s="473">
        <f>SUM(G626:G627)</f>
        <v>40800000</v>
      </c>
      <c r="H628" s="473">
        <f>SUM(H626:H627)</f>
        <v>40800000</v>
      </c>
      <c r="I628" s="425"/>
      <c r="J628" s="425"/>
      <c r="K628" s="426"/>
      <c r="L628" s="426"/>
      <c r="M628" s="426"/>
      <c r="N628" s="426"/>
      <c r="O628" s="426"/>
      <c r="P628" s="426"/>
      <c r="Q628" s="426"/>
      <c r="R628" s="426"/>
      <c r="S628" s="426"/>
      <c r="T628" s="426"/>
      <c r="U628" s="426"/>
      <c r="V628" s="426"/>
      <c r="W628" s="426"/>
      <c r="X628" s="426"/>
      <c r="Y628" s="426"/>
      <c r="Z628" s="426"/>
      <c r="AA628" s="426"/>
      <c r="AB628" s="426"/>
      <c r="AC628" s="426"/>
      <c r="AD628" s="426"/>
      <c r="AE628" s="426"/>
      <c r="AF628" s="426"/>
      <c r="AG628" s="426"/>
      <c r="AH628" s="426"/>
      <c r="AI628" s="426"/>
      <c r="AJ628" s="426"/>
      <c r="AK628" s="426"/>
      <c r="AL628" s="426"/>
      <c r="AM628" s="426"/>
      <c r="AN628" s="426"/>
      <c r="AO628" s="426"/>
      <c r="AP628" s="426"/>
      <c r="AQ628" s="426"/>
      <c r="AR628" s="426"/>
      <c r="AS628" s="426"/>
      <c r="AT628" s="426"/>
      <c r="AU628" s="426"/>
      <c r="AV628" s="426"/>
      <c r="AW628" s="426"/>
      <c r="AX628" s="426"/>
      <c r="AY628" s="426"/>
      <c r="AZ628" s="426"/>
      <c r="BA628" s="426"/>
      <c r="BB628" s="426"/>
      <c r="BC628" s="426"/>
      <c r="BD628" s="426"/>
      <c r="BE628" s="426"/>
      <c r="BF628" s="426"/>
      <c r="BG628" s="426"/>
      <c r="BH628" s="426"/>
      <c r="BI628" s="426"/>
      <c r="BJ628" s="426"/>
      <c r="BK628" s="426"/>
      <c r="BL628" s="426"/>
      <c r="BM628" s="426"/>
      <c r="BN628" s="426"/>
      <c r="BO628" s="426"/>
      <c r="BP628" s="426"/>
      <c r="BQ628" s="426"/>
      <c r="BR628" s="426"/>
      <c r="BS628" s="426"/>
      <c r="BT628" s="426"/>
      <c r="BU628" s="426"/>
      <c r="BV628" s="426"/>
      <c r="BW628" s="426"/>
      <c r="BX628" s="426"/>
      <c r="BY628" s="426"/>
      <c r="BZ628" s="426"/>
      <c r="CA628" s="426"/>
      <c r="CB628" s="426"/>
      <c r="CC628" s="426"/>
      <c r="CD628" s="426"/>
      <c r="CE628" s="426"/>
      <c r="CF628" s="426"/>
      <c r="CG628" s="426"/>
      <c r="CH628" s="426"/>
      <c r="CI628" s="426"/>
      <c r="CJ628" s="426"/>
      <c r="CK628" s="426"/>
      <c r="CL628" s="426"/>
      <c r="CM628" s="426"/>
      <c r="CN628" s="426"/>
      <c r="CO628" s="426"/>
      <c r="CP628" s="426"/>
      <c r="CQ628" s="426"/>
      <c r="CR628" s="426"/>
      <c r="CS628" s="426"/>
      <c r="CT628" s="426"/>
      <c r="CU628" s="426"/>
      <c r="CV628" s="426"/>
      <c r="CW628" s="426"/>
      <c r="CX628" s="426"/>
      <c r="CY628" s="426"/>
      <c r="CZ628" s="426"/>
      <c r="DA628" s="426"/>
      <c r="DB628" s="426"/>
      <c r="DC628" s="426"/>
      <c r="DD628" s="426"/>
      <c r="DE628" s="426"/>
      <c r="DF628" s="426"/>
      <c r="DG628" s="426"/>
      <c r="DH628" s="426"/>
      <c r="DI628" s="426"/>
      <c r="DJ628" s="426"/>
      <c r="DK628" s="426"/>
      <c r="DL628" s="426"/>
      <c r="DM628" s="426"/>
      <c r="DN628" s="426"/>
      <c r="DO628" s="426"/>
      <c r="DP628" s="426"/>
      <c r="DQ628" s="426"/>
      <c r="DR628" s="426"/>
      <c r="DS628" s="426"/>
      <c r="DT628" s="426"/>
      <c r="DU628" s="426"/>
      <c r="DV628" s="426"/>
      <c r="DW628" s="426"/>
      <c r="DX628" s="426"/>
      <c r="DY628" s="426"/>
      <c r="DZ628" s="426"/>
      <c r="EA628" s="426"/>
      <c r="EB628" s="426"/>
      <c r="EC628" s="426"/>
      <c r="ED628" s="426"/>
      <c r="EE628" s="426"/>
      <c r="EF628" s="426"/>
      <c r="EG628" s="426"/>
      <c r="EH628" s="426"/>
      <c r="EI628" s="426"/>
      <c r="EJ628" s="426"/>
      <c r="EK628" s="426"/>
      <c r="EL628" s="426"/>
      <c r="EM628" s="426"/>
      <c r="EN628" s="426"/>
      <c r="EO628" s="426"/>
      <c r="EP628" s="426"/>
      <c r="EQ628" s="426"/>
      <c r="ER628" s="426"/>
      <c r="ES628" s="426"/>
      <c r="ET628" s="426"/>
      <c r="EU628" s="426"/>
      <c r="EV628" s="426"/>
      <c r="EW628" s="426"/>
      <c r="EX628" s="426"/>
      <c r="EY628" s="426"/>
      <c r="EZ628" s="426"/>
      <c r="FA628" s="426"/>
      <c r="FB628" s="426"/>
      <c r="FC628" s="426"/>
      <c r="FD628" s="426"/>
      <c r="FE628" s="426"/>
      <c r="FF628" s="426"/>
      <c r="FG628" s="426"/>
      <c r="FH628" s="426"/>
      <c r="FI628" s="426"/>
      <c r="FJ628" s="426"/>
      <c r="FK628" s="426"/>
      <c r="FL628" s="426"/>
      <c r="FM628" s="426"/>
      <c r="FN628" s="426"/>
      <c r="FO628" s="426"/>
      <c r="FP628" s="426"/>
      <c r="FQ628" s="426"/>
      <c r="FR628" s="426"/>
      <c r="FS628" s="426"/>
      <c r="FT628" s="426"/>
      <c r="FU628" s="426"/>
      <c r="FV628" s="426"/>
      <c r="FW628" s="426"/>
      <c r="FX628" s="426"/>
      <c r="FY628" s="426"/>
      <c r="FZ628" s="426"/>
      <c r="GA628" s="426"/>
      <c r="GB628" s="426"/>
      <c r="GC628" s="426"/>
      <c r="GD628" s="426"/>
      <c r="GE628" s="426"/>
      <c r="GF628" s="426"/>
      <c r="GG628" s="426"/>
      <c r="GH628" s="426"/>
      <c r="GI628" s="426"/>
      <c r="GJ628" s="426"/>
      <c r="GK628" s="426"/>
      <c r="GL628" s="426"/>
      <c r="GM628" s="426"/>
      <c r="GN628" s="426"/>
      <c r="GO628" s="426"/>
      <c r="GP628" s="426"/>
      <c r="GQ628" s="426"/>
      <c r="GR628" s="426"/>
      <c r="GS628" s="426"/>
      <c r="GT628" s="426"/>
      <c r="GU628" s="426"/>
      <c r="GV628" s="426"/>
      <c r="GW628" s="426"/>
      <c r="GX628" s="426"/>
      <c r="GY628" s="426"/>
      <c r="GZ628" s="426"/>
      <c r="HA628" s="426"/>
      <c r="HB628" s="426"/>
      <c r="HC628" s="426"/>
      <c r="HD628" s="426"/>
      <c r="HE628" s="426"/>
      <c r="HF628" s="426"/>
      <c r="HG628" s="426"/>
      <c r="HH628" s="426"/>
      <c r="HI628" s="426"/>
      <c r="HJ628" s="426"/>
      <c r="HK628" s="426"/>
      <c r="HL628" s="426"/>
      <c r="HM628" s="426"/>
      <c r="HN628" s="426"/>
      <c r="HO628" s="426"/>
      <c r="HP628" s="426"/>
      <c r="HQ628" s="426"/>
      <c r="HR628" s="426"/>
      <c r="HS628" s="426"/>
      <c r="HT628" s="426"/>
      <c r="HU628" s="426"/>
      <c r="HV628" s="426"/>
      <c r="HW628" s="426"/>
      <c r="HX628" s="426"/>
      <c r="HY628" s="426"/>
      <c r="HZ628" s="426"/>
      <c r="IA628" s="426"/>
      <c r="IB628" s="426"/>
      <c r="IC628" s="426"/>
      <c r="ID628" s="426"/>
      <c r="IE628" s="426"/>
      <c r="IF628" s="426"/>
      <c r="IG628" s="426"/>
      <c r="IH628" s="426"/>
      <c r="II628" s="426"/>
      <c r="IJ628" s="426"/>
      <c r="IK628" s="426"/>
      <c r="IL628" s="426"/>
      <c r="IM628" s="426"/>
      <c r="IN628" s="426"/>
      <c r="IO628" s="426"/>
      <c r="IP628" s="426"/>
      <c r="IQ628" s="426"/>
      <c r="IR628" s="426"/>
      <c r="IS628" s="426"/>
      <c r="IT628" s="426"/>
      <c r="IU628" s="426"/>
      <c r="IV628" s="426"/>
      <c r="IW628" s="426"/>
      <c r="IX628" s="426"/>
      <c r="IY628" s="426"/>
      <c r="IZ628" s="426"/>
      <c r="JA628" s="426"/>
      <c r="JB628" s="426"/>
      <c r="JC628" s="426"/>
      <c r="JD628" s="426"/>
      <c r="JE628" s="426"/>
      <c r="JF628" s="426"/>
      <c r="JG628" s="426"/>
      <c r="JH628" s="426"/>
      <c r="JI628" s="426"/>
      <c r="JJ628" s="426"/>
      <c r="JK628" s="426"/>
      <c r="JL628" s="426"/>
      <c r="JM628" s="426"/>
      <c r="JN628" s="426"/>
      <c r="JO628" s="426"/>
      <c r="JP628" s="426"/>
      <c r="JQ628" s="426"/>
      <c r="JR628" s="426"/>
      <c r="JS628" s="426"/>
      <c r="JT628" s="426"/>
      <c r="JU628" s="426"/>
      <c r="JV628" s="426"/>
      <c r="JW628" s="426"/>
      <c r="JX628" s="426"/>
    </row>
    <row r="629" spans="1:285" s="456" customFormat="1" ht="21" customHeight="1" x14ac:dyDescent="0.25">
      <c r="A629" s="463"/>
      <c r="B629" s="976" t="s">
        <v>1595</v>
      </c>
      <c r="C629" s="976"/>
      <c r="D629" s="976"/>
      <c r="E629" s="976"/>
      <c r="F629" s="976"/>
      <c r="G629" s="473">
        <f>G625+G628</f>
        <v>40800000</v>
      </c>
      <c r="H629" s="473">
        <f>H625+H628</f>
        <v>41800000</v>
      </c>
      <c r="I629" s="425"/>
      <c r="J629" s="425"/>
      <c r="K629" s="426"/>
      <c r="L629" s="426"/>
      <c r="M629" s="426"/>
      <c r="N629" s="426"/>
      <c r="O629" s="426"/>
      <c r="P629" s="426"/>
      <c r="Q629" s="426"/>
      <c r="R629" s="426"/>
      <c r="S629" s="426"/>
      <c r="T629" s="426"/>
      <c r="U629" s="426"/>
      <c r="V629" s="426"/>
      <c r="W629" s="426"/>
      <c r="X629" s="426"/>
      <c r="Y629" s="426"/>
      <c r="Z629" s="426"/>
      <c r="AA629" s="426"/>
      <c r="AB629" s="426"/>
      <c r="AC629" s="426"/>
      <c r="AD629" s="426"/>
      <c r="AE629" s="426"/>
      <c r="AF629" s="426"/>
      <c r="AG629" s="426"/>
      <c r="AH629" s="426"/>
      <c r="AI629" s="426"/>
      <c r="AJ629" s="426"/>
      <c r="AK629" s="426"/>
      <c r="AL629" s="426"/>
      <c r="AM629" s="426"/>
      <c r="AN629" s="426"/>
      <c r="AO629" s="426"/>
      <c r="AP629" s="426"/>
      <c r="AQ629" s="426"/>
      <c r="AR629" s="426"/>
      <c r="AS629" s="426"/>
      <c r="AT629" s="426"/>
      <c r="AU629" s="426"/>
      <c r="AV629" s="426"/>
      <c r="AW629" s="426"/>
      <c r="AX629" s="426"/>
      <c r="AY629" s="426"/>
      <c r="AZ629" s="426"/>
      <c r="BA629" s="426"/>
      <c r="BB629" s="426"/>
      <c r="BC629" s="426"/>
      <c r="BD629" s="426"/>
      <c r="BE629" s="426"/>
      <c r="BF629" s="426"/>
      <c r="BG629" s="426"/>
      <c r="BH629" s="426"/>
      <c r="BI629" s="426"/>
      <c r="BJ629" s="426"/>
      <c r="BK629" s="426"/>
      <c r="BL629" s="426"/>
      <c r="BM629" s="426"/>
      <c r="BN629" s="426"/>
      <c r="BO629" s="426"/>
      <c r="BP629" s="426"/>
      <c r="BQ629" s="426"/>
      <c r="BR629" s="426"/>
      <c r="BS629" s="426"/>
      <c r="BT629" s="426"/>
      <c r="BU629" s="426"/>
      <c r="BV629" s="426"/>
      <c r="BW629" s="426"/>
      <c r="BX629" s="426"/>
      <c r="BY629" s="426"/>
      <c r="BZ629" s="426"/>
      <c r="CA629" s="426"/>
      <c r="CB629" s="426"/>
      <c r="CC629" s="426"/>
      <c r="CD629" s="426"/>
      <c r="CE629" s="426"/>
      <c r="CF629" s="426"/>
      <c r="CG629" s="426"/>
      <c r="CH629" s="426"/>
      <c r="CI629" s="426"/>
      <c r="CJ629" s="426"/>
      <c r="CK629" s="426"/>
      <c r="CL629" s="426"/>
      <c r="CM629" s="426"/>
      <c r="CN629" s="426"/>
      <c r="CO629" s="426"/>
      <c r="CP629" s="426"/>
      <c r="CQ629" s="426"/>
      <c r="CR629" s="426"/>
      <c r="CS629" s="426"/>
      <c r="CT629" s="426"/>
      <c r="CU629" s="426"/>
      <c r="CV629" s="426"/>
      <c r="CW629" s="426"/>
      <c r="CX629" s="426"/>
      <c r="CY629" s="426"/>
      <c r="CZ629" s="426"/>
      <c r="DA629" s="426"/>
      <c r="DB629" s="426"/>
      <c r="DC629" s="426"/>
      <c r="DD629" s="426"/>
      <c r="DE629" s="426"/>
      <c r="DF629" s="426"/>
      <c r="DG629" s="426"/>
      <c r="DH629" s="426"/>
      <c r="DI629" s="426"/>
      <c r="DJ629" s="426"/>
      <c r="DK629" s="426"/>
      <c r="DL629" s="426"/>
      <c r="DM629" s="426"/>
      <c r="DN629" s="426"/>
      <c r="DO629" s="426"/>
      <c r="DP629" s="426"/>
      <c r="DQ629" s="426"/>
      <c r="DR629" s="426"/>
      <c r="DS629" s="426"/>
      <c r="DT629" s="426"/>
      <c r="DU629" s="426"/>
      <c r="DV629" s="426"/>
      <c r="DW629" s="426"/>
      <c r="DX629" s="426"/>
      <c r="DY629" s="426"/>
      <c r="DZ629" s="426"/>
      <c r="EA629" s="426"/>
      <c r="EB629" s="426"/>
      <c r="EC629" s="426"/>
      <c r="ED629" s="426"/>
      <c r="EE629" s="426"/>
      <c r="EF629" s="426"/>
      <c r="EG629" s="426"/>
      <c r="EH629" s="426"/>
      <c r="EI629" s="426"/>
      <c r="EJ629" s="426"/>
      <c r="EK629" s="426"/>
      <c r="EL629" s="426"/>
      <c r="EM629" s="426"/>
      <c r="EN629" s="426"/>
      <c r="EO629" s="426"/>
      <c r="EP629" s="426"/>
      <c r="EQ629" s="426"/>
      <c r="ER629" s="426"/>
      <c r="ES629" s="426"/>
      <c r="ET629" s="426"/>
      <c r="EU629" s="426"/>
      <c r="EV629" s="426"/>
      <c r="EW629" s="426"/>
      <c r="EX629" s="426"/>
      <c r="EY629" s="426"/>
      <c r="EZ629" s="426"/>
      <c r="FA629" s="426"/>
      <c r="FB629" s="426"/>
      <c r="FC629" s="426"/>
      <c r="FD629" s="426"/>
      <c r="FE629" s="426"/>
      <c r="FF629" s="426"/>
      <c r="FG629" s="426"/>
      <c r="FH629" s="426"/>
      <c r="FI629" s="426"/>
      <c r="FJ629" s="426"/>
      <c r="FK629" s="426"/>
      <c r="FL629" s="426"/>
      <c r="FM629" s="426"/>
      <c r="FN629" s="426"/>
      <c r="FO629" s="426"/>
      <c r="FP629" s="426"/>
      <c r="FQ629" s="426"/>
      <c r="FR629" s="426"/>
      <c r="FS629" s="426"/>
      <c r="FT629" s="426"/>
      <c r="FU629" s="426"/>
      <c r="FV629" s="426"/>
      <c r="FW629" s="426"/>
      <c r="FX629" s="426"/>
      <c r="FY629" s="426"/>
      <c r="FZ629" s="426"/>
      <c r="GA629" s="426"/>
      <c r="GB629" s="426"/>
      <c r="GC629" s="426"/>
      <c r="GD629" s="426"/>
      <c r="GE629" s="426"/>
      <c r="GF629" s="426"/>
      <c r="GG629" s="426"/>
      <c r="GH629" s="426"/>
      <c r="GI629" s="426"/>
      <c r="GJ629" s="426"/>
      <c r="GK629" s="426"/>
      <c r="GL629" s="426"/>
      <c r="GM629" s="426"/>
      <c r="GN629" s="426"/>
      <c r="GO629" s="426"/>
      <c r="GP629" s="426"/>
      <c r="GQ629" s="426"/>
      <c r="GR629" s="426"/>
      <c r="GS629" s="426"/>
      <c r="GT629" s="426"/>
      <c r="GU629" s="426"/>
      <c r="GV629" s="426"/>
      <c r="GW629" s="426"/>
      <c r="GX629" s="426"/>
      <c r="GY629" s="426"/>
      <c r="GZ629" s="426"/>
      <c r="HA629" s="426"/>
      <c r="HB629" s="426"/>
      <c r="HC629" s="426"/>
      <c r="HD629" s="426"/>
      <c r="HE629" s="426"/>
      <c r="HF629" s="426"/>
      <c r="HG629" s="426"/>
      <c r="HH629" s="426"/>
      <c r="HI629" s="426"/>
      <c r="HJ629" s="426"/>
      <c r="HK629" s="426"/>
      <c r="HL629" s="426"/>
      <c r="HM629" s="426"/>
      <c r="HN629" s="426"/>
      <c r="HO629" s="426"/>
      <c r="HP629" s="426"/>
      <c r="HQ629" s="426"/>
      <c r="HR629" s="426"/>
      <c r="HS629" s="426"/>
      <c r="HT629" s="426"/>
      <c r="HU629" s="426"/>
      <c r="HV629" s="426"/>
      <c r="HW629" s="426"/>
      <c r="HX629" s="426"/>
      <c r="HY629" s="426"/>
      <c r="HZ629" s="426"/>
      <c r="IA629" s="426"/>
      <c r="IB629" s="426"/>
      <c r="IC629" s="426"/>
      <c r="ID629" s="426"/>
      <c r="IE629" s="426"/>
      <c r="IF629" s="426"/>
      <c r="IG629" s="426"/>
      <c r="IH629" s="426"/>
      <c r="II629" s="426"/>
      <c r="IJ629" s="426"/>
      <c r="IK629" s="426"/>
      <c r="IL629" s="426"/>
      <c r="IM629" s="426"/>
      <c r="IN629" s="426"/>
      <c r="IO629" s="426"/>
      <c r="IP629" s="426"/>
      <c r="IQ629" s="426"/>
      <c r="IR629" s="426"/>
      <c r="IS629" s="426"/>
      <c r="IT629" s="426"/>
      <c r="IU629" s="426"/>
      <c r="IV629" s="426"/>
      <c r="IW629" s="426"/>
      <c r="IX629" s="426"/>
      <c r="IY629" s="426"/>
      <c r="IZ629" s="426"/>
      <c r="JA629" s="426"/>
      <c r="JB629" s="426"/>
      <c r="JC629" s="426"/>
      <c r="JD629" s="426"/>
      <c r="JE629" s="426"/>
      <c r="JF629" s="426"/>
      <c r="JG629" s="426"/>
      <c r="JH629" s="426"/>
      <c r="JI629" s="426"/>
      <c r="JJ629" s="426"/>
      <c r="JK629" s="426"/>
      <c r="JL629" s="426"/>
      <c r="JM629" s="426"/>
      <c r="JN629" s="426"/>
      <c r="JO629" s="426"/>
      <c r="JP629" s="426"/>
      <c r="JQ629" s="426"/>
      <c r="JR629" s="426"/>
      <c r="JS629" s="426"/>
      <c r="JT629" s="426"/>
      <c r="JU629" s="426"/>
      <c r="JV629" s="426"/>
      <c r="JW629" s="426"/>
      <c r="JX629" s="426"/>
    </row>
    <row r="630" spans="1:285" s="456" customFormat="1" ht="30.75" customHeight="1" x14ac:dyDescent="0.25">
      <c r="A630" s="463"/>
      <c r="B630" s="752" t="s">
        <v>961</v>
      </c>
      <c r="C630" s="772"/>
      <c r="D630" s="772"/>
      <c r="E630" s="753"/>
      <c r="F630" s="753"/>
      <c r="G630" s="753"/>
      <c r="H630" s="463"/>
      <c r="I630" s="472"/>
      <c r="J630" s="472"/>
    </row>
    <row r="631" spans="1:285" ht="21" customHeight="1" x14ac:dyDescent="0.25">
      <c r="A631" s="463"/>
      <c r="B631" s="430" t="s">
        <v>1596</v>
      </c>
      <c r="C631" s="711" t="s">
        <v>92</v>
      </c>
      <c r="D631" s="712" t="s">
        <v>1597</v>
      </c>
      <c r="E631" s="783">
        <v>70630</v>
      </c>
      <c r="F631" s="713" t="s">
        <v>1048</v>
      </c>
      <c r="G631" s="462">
        <v>3749940</v>
      </c>
      <c r="H631" s="462">
        <f>G631</f>
        <v>3749940</v>
      </c>
    </row>
    <row r="632" spans="1:285" ht="21" customHeight="1" x14ac:dyDescent="0.25">
      <c r="A632" s="463"/>
      <c r="B632" s="726" t="s">
        <v>1598</v>
      </c>
      <c r="C632" s="745" t="s">
        <v>92</v>
      </c>
      <c r="D632" s="746" t="s">
        <v>1597</v>
      </c>
      <c r="E632" s="785">
        <v>70630</v>
      </c>
      <c r="F632" s="747" t="s">
        <v>1048</v>
      </c>
      <c r="G632" s="451">
        <v>4800000</v>
      </c>
      <c r="H632" s="451">
        <v>4800000</v>
      </c>
    </row>
    <row r="633" spans="1:285" ht="21" customHeight="1" x14ac:dyDescent="0.25">
      <c r="A633" s="463"/>
      <c r="B633" s="436" t="s">
        <v>1599</v>
      </c>
      <c r="C633" s="745" t="s">
        <v>92</v>
      </c>
      <c r="D633" s="746" t="s">
        <v>1597</v>
      </c>
      <c r="E633" s="785">
        <v>70630</v>
      </c>
      <c r="F633" s="747" t="s">
        <v>1048</v>
      </c>
      <c r="G633" s="451">
        <v>2000000</v>
      </c>
      <c r="H633" s="451">
        <f>250000*12</f>
        <v>3000000</v>
      </c>
    </row>
    <row r="634" spans="1:285" ht="21" customHeight="1" x14ac:dyDescent="0.25">
      <c r="A634" s="463"/>
      <c r="B634" s="870" t="s">
        <v>117</v>
      </c>
      <c r="C634" s="748"/>
      <c r="D634" s="749"/>
      <c r="E634" s="817"/>
      <c r="F634" s="750"/>
      <c r="G634" s="761"/>
      <c r="H634" s="761">
        <f>SUM(H631:H633)</f>
        <v>11549940</v>
      </c>
    </row>
    <row r="635" spans="1:285" ht="21" customHeight="1" x14ac:dyDescent="0.25">
      <c r="A635" s="463"/>
      <c r="B635" s="436" t="s">
        <v>1600</v>
      </c>
      <c r="C635" s="745" t="s">
        <v>92</v>
      </c>
      <c r="D635" s="746" t="s">
        <v>1597</v>
      </c>
      <c r="E635" s="785">
        <v>70630</v>
      </c>
      <c r="F635" s="747" t="s">
        <v>1048</v>
      </c>
      <c r="G635" s="451">
        <v>3000000</v>
      </c>
      <c r="H635" s="451">
        <v>3000000</v>
      </c>
    </row>
    <row r="636" spans="1:285" ht="31.5" customHeight="1" x14ac:dyDescent="0.25">
      <c r="A636" s="463"/>
      <c r="B636" s="976" t="s">
        <v>1601</v>
      </c>
      <c r="C636" s="976"/>
      <c r="D636" s="976"/>
      <c r="E636" s="976"/>
      <c r="F636" s="976"/>
      <c r="G636" s="761">
        <f>SUM(G631:G635)</f>
        <v>13549940</v>
      </c>
      <c r="H636" s="761">
        <f>SUM(H634:H635)</f>
        <v>14549940</v>
      </c>
    </row>
    <row r="637" spans="1:285" ht="84" customHeight="1" x14ac:dyDescent="0.25">
      <c r="A637" s="756"/>
      <c r="B637" s="764">
        <v>71</v>
      </c>
      <c r="C637" s="765"/>
      <c r="D637" s="765"/>
      <c r="E637" s="765"/>
      <c r="F637" s="765"/>
      <c r="G637" s="766"/>
      <c r="H637" s="766"/>
    </row>
    <row r="638" spans="1:285" ht="43.5" customHeight="1" x14ac:dyDescent="0.25">
      <c r="A638" s="463"/>
      <c r="B638" s="752" t="s">
        <v>962</v>
      </c>
      <c r="C638" s="772"/>
      <c r="D638" s="712"/>
      <c r="E638" s="753"/>
      <c r="F638" s="753"/>
      <c r="G638" s="753"/>
      <c r="H638" s="463"/>
    </row>
    <row r="639" spans="1:285" ht="33" customHeight="1" x14ac:dyDescent="0.25">
      <c r="A639" s="463"/>
      <c r="B639" s="430" t="s">
        <v>1602</v>
      </c>
      <c r="C639" s="711" t="s">
        <v>92</v>
      </c>
      <c r="D639" s="712" t="s">
        <v>963</v>
      </c>
      <c r="E639" s="801" t="s">
        <v>964</v>
      </c>
      <c r="F639" s="713" t="s">
        <v>1048</v>
      </c>
      <c r="G639" s="462">
        <v>14000000</v>
      </c>
      <c r="H639" s="462">
        <v>14000000</v>
      </c>
    </row>
    <row r="640" spans="1:285" ht="21" customHeight="1" x14ac:dyDescent="0.25">
      <c r="A640" s="463"/>
      <c r="B640" s="447" t="s">
        <v>1603</v>
      </c>
      <c r="C640" s="711" t="s">
        <v>92</v>
      </c>
      <c r="D640" s="712" t="s">
        <v>963</v>
      </c>
      <c r="E640" s="801" t="s">
        <v>964</v>
      </c>
      <c r="F640" s="713" t="s">
        <v>1048</v>
      </c>
      <c r="G640" s="462">
        <v>2000000</v>
      </c>
      <c r="H640" s="462">
        <v>2000000</v>
      </c>
    </row>
    <row r="641" spans="1:10" ht="21" customHeight="1" x14ac:dyDescent="0.25">
      <c r="A641" s="463"/>
      <c r="B641" s="447" t="s">
        <v>1604</v>
      </c>
      <c r="C641" s="711" t="s">
        <v>92</v>
      </c>
      <c r="D641" s="712" t="s">
        <v>963</v>
      </c>
      <c r="E641" s="801" t="s">
        <v>964</v>
      </c>
      <c r="F641" s="711" t="s">
        <v>1059</v>
      </c>
      <c r="G641" s="462">
        <v>2000000</v>
      </c>
      <c r="H641" s="462">
        <v>2000000</v>
      </c>
    </row>
    <row r="642" spans="1:10" ht="21" customHeight="1" x14ac:dyDescent="0.25">
      <c r="A642" s="463"/>
      <c r="B642" s="873" t="s">
        <v>117</v>
      </c>
      <c r="C642" s="818"/>
      <c r="D642" s="705"/>
      <c r="E642" s="873"/>
      <c r="F642" s="873"/>
      <c r="G642" s="819">
        <f>SUM(G639:G641)</f>
        <v>18000000</v>
      </c>
      <c r="H642" s="473">
        <f>SUM(H639:H641)</f>
        <v>18000000</v>
      </c>
    </row>
    <row r="643" spans="1:10" s="433" customFormat="1" ht="21" customHeight="1" x14ac:dyDescent="0.25">
      <c r="A643" s="870"/>
      <c r="B643" s="436" t="s">
        <v>1605</v>
      </c>
      <c r="C643" s="745" t="s">
        <v>92</v>
      </c>
      <c r="D643" s="746" t="s">
        <v>963</v>
      </c>
      <c r="E643" s="791" t="s">
        <v>964</v>
      </c>
      <c r="F643" s="747" t="s">
        <v>1048</v>
      </c>
      <c r="G643" s="451">
        <v>12120000</v>
      </c>
      <c r="H643" s="451">
        <v>12120000</v>
      </c>
      <c r="I643" s="432"/>
      <c r="J643" s="432"/>
    </row>
    <row r="644" spans="1:10" s="433" customFormat="1" ht="21" customHeight="1" x14ac:dyDescent="0.25">
      <c r="A644" s="870"/>
      <c r="B644" s="980" t="s">
        <v>1606</v>
      </c>
      <c r="C644" s="980"/>
      <c r="D644" s="980"/>
      <c r="E644" s="980"/>
      <c r="F644" s="980"/>
      <c r="G644" s="819">
        <f>SUM(G642:G643)</f>
        <v>30120000</v>
      </c>
      <c r="H644" s="819">
        <f>SUM(H642:H643)</f>
        <v>30120000</v>
      </c>
      <c r="I644" s="432"/>
      <c r="J644" s="432"/>
    </row>
    <row r="645" spans="1:10" ht="41.25" customHeight="1" x14ac:dyDescent="0.25">
      <c r="A645" s="463"/>
      <c r="B645" s="752" t="s">
        <v>1607</v>
      </c>
      <c r="C645" s="772"/>
      <c r="D645" s="712"/>
      <c r="E645" s="777"/>
      <c r="F645" s="777"/>
      <c r="G645" s="777"/>
      <c r="H645" s="463"/>
    </row>
    <row r="646" spans="1:10" ht="21" customHeight="1" x14ac:dyDescent="0.25">
      <c r="A646" s="463"/>
      <c r="B646" s="430" t="s">
        <v>1608</v>
      </c>
      <c r="C646" s="711" t="s">
        <v>92</v>
      </c>
      <c r="D646" s="712" t="s">
        <v>966</v>
      </c>
      <c r="E646" s="801">
        <v>70436</v>
      </c>
      <c r="F646" s="711" t="s">
        <v>1059</v>
      </c>
      <c r="G646" s="462">
        <v>12000000</v>
      </c>
      <c r="H646" s="462">
        <v>12000000</v>
      </c>
    </row>
    <row r="647" spans="1:10" ht="21" customHeight="1" x14ac:dyDescent="0.25">
      <c r="A647" s="463"/>
      <c r="B647" s="430" t="s">
        <v>1609</v>
      </c>
      <c r="C647" s="711" t="s">
        <v>92</v>
      </c>
      <c r="D647" s="712" t="s">
        <v>1610</v>
      </c>
      <c r="E647" s="801">
        <v>70436</v>
      </c>
      <c r="F647" s="713" t="s">
        <v>1059</v>
      </c>
      <c r="G647" s="462">
        <v>5000000</v>
      </c>
      <c r="H647" s="462">
        <v>5000000</v>
      </c>
    </row>
    <row r="648" spans="1:10" ht="21" customHeight="1" x14ac:dyDescent="0.25">
      <c r="A648" s="463"/>
      <c r="B648" s="430" t="s">
        <v>1611</v>
      </c>
      <c r="C648" s="711" t="s">
        <v>92</v>
      </c>
      <c r="D648" s="712" t="s">
        <v>966</v>
      </c>
      <c r="E648" s="801">
        <v>70436</v>
      </c>
      <c r="F648" s="711" t="s">
        <v>1059</v>
      </c>
      <c r="G648" s="462">
        <v>5000000</v>
      </c>
      <c r="H648" s="462">
        <v>5000000</v>
      </c>
    </row>
    <row r="649" spans="1:10" ht="21" customHeight="1" x14ac:dyDescent="0.25">
      <c r="A649" s="463"/>
      <c r="B649" s="430" t="s">
        <v>1612</v>
      </c>
      <c r="C649" s="711" t="s">
        <v>92</v>
      </c>
      <c r="D649" s="712" t="s">
        <v>966</v>
      </c>
      <c r="E649" s="801">
        <v>70436</v>
      </c>
      <c r="F649" s="711" t="s">
        <v>1059</v>
      </c>
      <c r="G649" s="462">
        <v>50000000</v>
      </c>
      <c r="H649" s="462">
        <v>50000000</v>
      </c>
    </row>
    <row r="650" spans="1:10" ht="21" customHeight="1" x14ac:dyDescent="0.25">
      <c r="A650" s="463"/>
      <c r="B650" s="430" t="s">
        <v>1613</v>
      </c>
      <c r="C650" s="711" t="s">
        <v>92</v>
      </c>
      <c r="D650" s="712" t="s">
        <v>966</v>
      </c>
      <c r="E650" s="801">
        <v>70436</v>
      </c>
      <c r="F650" s="711" t="s">
        <v>1059</v>
      </c>
      <c r="G650" s="462">
        <v>5000000</v>
      </c>
      <c r="H650" s="462">
        <v>5000000</v>
      </c>
    </row>
    <row r="651" spans="1:10" ht="21" customHeight="1" x14ac:dyDescent="0.25">
      <c r="A651" s="463"/>
      <c r="B651" s="430" t="s">
        <v>1614</v>
      </c>
      <c r="C651" s="711" t="s">
        <v>92</v>
      </c>
      <c r="D651" s="712" t="s">
        <v>966</v>
      </c>
      <c r="E651" s="801">
        <v>70436</v>
      </c>
      <c r="F651" s="711" t="s">
        <v>1059</v>
      </c>
      <c r="G651" s="462">
        <v>10000000</v>
      </c>
      <c r="H651" s="462">
        <v>10000000</v>
      </c>
    </row>
    <row r="652" spans="1:10" ht="21" customHeight="1" x14ac:dyDescent="0.25">
      <c r="A652" s="463"/>
      <c r="B652" s="870" t="s">
        <v>117</v>
      </c>
      <c r="C652" s="705"/>
      <c r="D652" s="705"/>
      <c r="E652" s="870"/>
      <c r="F652" s="870"/>
      <c r="G652" s="473">
        <f>SUM(G646:G651)</f>
        <v>87000000</v>
      </c>
      <c r="H652" s="473">
        <f>SUM(H646:H651)</f>
        <v>87000000</v>
      </c>
    </row>
    <row r="653" spans="1:10" ht="21" customHeight="1" x14ac:dyDescent="0.25">
      <c r="A653" s="463"/>
      <c r="B653" s="436" t="s">
        <v>1615</v>
      </c>
      <c r="C653" s="745" t="s">
        <v>92</v>
      </c>
      <c r="D653" s="746" t="s">
        <v>966</v>
      </c>
      <c r="E653" s="791">
        <v>70436</v>
      </c>
      <c r="F653" s="747" t="s">
        <v>1048</v>
      </c>
      <c r="G653" s="462">
        <v>10800000</v>
      </c>
      <c r="H653" s="462">
        <f>1300000*12</f>
        <v>15600000</v>
      </c>
    </row>
    <row r="654" spans="1:10" ht="21" customHeight="1" x14ac:dyDescent="0.25">
      <c r="A654" s="463"/>
      <c r="B654" s="870" t="s">
        <v>449</v>
      </c>
      <c r="C654" s="705"/>
      <c r="D654" s="705"/>
      <c r="E654" s="870"/>
      <c r="F654" s="870"/>
      <c r="G654" s="473">
        <f>SUM(G652:G653)</f>
        <v>97800000</v>
      </c>
      <c r="H654" s="473">
        <f>SUM(H652:H653)</f>
        <v>102600000</v>
      </c>
    </row>
    <row r="655" spans="1:10" ht="96" customHeight="1" x14ac:dyDescent="0.25">
      <c r="A655" s="756"/>
      <c r="B655" s="467">
        <v>72</v>
      </c>
      <c r="C655" s="806"/>
      <c r="D655" s="806"/>
      <c r="E655" s="474"/>
      <c r="F655" s="474"/>
      <c r="G655" s="800"/>
      <c r="H655" s="800"/>
    </row>
    <row r="656" spans="1:10" ht="28.5" customHeight="1" x14ac:dyDescent="0.25">
      <c r="A656" s="463"/>
      <c r="B656" s="752" t="s">
        <v>1616</v>
      </c>
      <c r="C656" s="772"/>
      <c r="D656" s="712"/>
      <c r="E656" s="753"/>
      <c r="F656" s="753"/>
      <c r="G656" s="753"/>
      <c r="H656" s="463"/>
    </row>
    <row r="657" spans="1:8" ht="21" customHeight="1" x14ac:dyDescent="0.25">
      <c r="A657" s="463"/>
      <c r="B657" s="447" t="s">
        <v>1361</v>
      </c>
      <c r="C657" s="711" t="s">
        <v>92</v>
      </c>
      <c r="D657" s="712" t="s">
        <v>537</v>
      </c>
      <c r="E657" s="463">
        <v>70112</v>
      </c>
      <c r="F657" s="711" t="s">
        <v>1059</v>
      </c>
      <c r="G657" s="462">
        <v>4000000000</v>
      </c>
      <c r="H657" s="462">
        <v>4000000000</v>
      </c>
    </row>
    <row r="658" spans="1:8" ht="21" customHeight="1" x14ac:dyDescent="0.25">
      <c r="A658" s="463"/>
      <c r="B658" s="447" t="s">
        <v>1617</v>
      </c>
      <c r="C658" s="711" t="s">
        <v>92</v>
      </c>
      <c r="D658" s="712" t="s">
        <v>537</v>
      </c>
      <c r="E658" s="463">
        <v>70112</v>
      </c>
      <c r="F658" s="711" t="s">
        <v>1059</v>
      </c>
      <c r="G658" s="462">
        <v>500000000</v>
      </c>
      <c r="H658" s="462">
        <v>500000000</v>
      </c>
    </row>
    <row r="659" spans="1:8" ht="21" customHeight="1" x14ac:dyDescent="0.25">
      <c r="A659" s="463"/>
      <c r="B659" s="430" t="s">
        <v>1618</v>
      </c>
      <c r="C659" s="711" t="s">
        <v>92</v>
      </c>
      <c r="D659" s="712" t="s">
        <v>537</v>
      </c>
      <c r="E659" s="463">
        <v>70112</v>
      </c>
      <c r="F659" s="713" t="s">
        <v>109</v>
      </c>
      <c r="G659" s="462">
        <v>5200000000</v>
      </c>
      <c r="H659" s="462">
        <v>5200000000</v>
      </c>
    </row>
    <row r="660" spans="1:8" ht="21" customHeight="1" x14ac:dyDescent="0.25">
      <c r="A660" s="463"/>
      <c r="B660" s="447" t="s">
        <v>1619</v>
      </c>
      <c r="C660" s="711" t="s">
        <v>92</v>
      </c>
      <c r="D660" s="712" t="s">
        <v>537</v>
      </c>
      <c r="E660" s="463">
        <v>70112</v>
      </c>
      <c r="F660" s="713" t="s">
        <v>1048</v>
      </c>
      <c r="G660" s="462">
        <v>1100000</v>
      </c>
      <c r="H660" s="462">
        <v>1100000</v>
      </c>
    </row>
    <row r="661" spans="1:8" ht="21" customHeight="1" x14ac:dyDescent="0.25">
      <c r="A661" s="463"/>
      <c r="B661" s="447" t="s">
        <v>1620</v>
      </c>
      <c r="C661" s="711" t="s">
        <v>92</v>
      </c>
      <c r="D661" s="712" t="s">
        <v>537</v>
      </c>
      <c r="E661" s="463">
        <v>70112</v>
      </c>
      <c r="F661" s="711" t="s">
        <v>1059</v>
      </c>
      <c r="G661" s="462">
        <v>5000000</v>
      </c>
      <c r="H661" s="462">
        <v>5000000</v>
      </c>
    </row>
    <row r="662" spans="1:8" ht="21" customHeight="1" x14ac:dyDescent="0.25">
      <c r="A662" s="463"/>
      <c r="B662" s="447" t="s">
        <v>1621</v>
      </c>
      <c r="C662" s="711" t="s">
        <v>92</v>
      </c>
      <c r="D662" s="712" t="s">
        <v>537</v>
      </c>
      <c r="E662" s="463">
        <v>70112</v>
      </c>
      <c r="F662" s="713" t="s">
        <v>1048</v>
      </c>
      <c r="G662" s="462">
        <v>96660000</v>
      </c>
      <c r="H662" s="462">
        <v>96660000</v>
      </c>
    </row>
    <row r="663" spans="1:8" ht="21" customHeight="1" x14ac:dyDescent="0.25">
      <c r="A663" s="463"/>
      <c r="B663" s="430" t="s">
        <v>1622</v>
      </c>
      <c r="C663" s="711" t="s">
        <v>92</v>
      </c>
      <c r="D663" s="712" t="s">
        <v>537</v>
      </c>
      <c r="E663" s="463">
        <v>70112</v>
      </c>
      <c r="F663" s="713" t="s">
        <v>1048</v>
      </c>
      <c r="G663" s="462">
        <v>3600000</v>
      </c>
      <c r="H663" s="462">
        <v>3600000</v>
      </c>
    </row>
    <row r="664" spans="1:8" ht="21" customHeight="1" x14ac:dyDescent="0.25">
      <c r="A664" s="463"/>
      <c r="B664" s="430" t="s">
        <v>1623</v>
      </c>
      <c r="C664" s="711" t="s">
        <v>92</v>
      </c>
      <c r="D664" s="712" t="s">
        <v>537</v>
      </c>
      <c r="E664" s="463">
        <v>70112</v>
      </c>
      <c r="F664" s="713" t="s">
        <v>1048</v>
      </c>
      <c r="G664" s="462">
        <v>30000000</v>
      </c>
      <c r="H664" s="462">
        <v>30000000</v>
      </c>
    </row>
    <row r="665" spans="1:8" ht="21" customHeight="1" x14ac:dyDescent="0.25">
      <c r="A665" s="463"/>
      <c r="B665" s="430" t="s">
        <v>1624</v>
      </c>
      <c r="C665" s="711" t="s">
        <v>92</v>
      </c>
      <c r="D665" s="712" t="s">
        <v>537</v>
      </c>
      <c r="E665" s="463">
        <v>70112</v>
      </c>
      <c r="F665" s="713" t="s">
        <v>1048</v>
      </c>
      <c r="G665" s="462">
        <v>6000000</v>
      </c>
      <c r="H665" s="462">
        <v>6000000</v>
      </c>
    </row>
    <row r="666" spans="1:8" ht="21" customHeight="1" x14ac:dyDescent="0.25">
      <c r="A666" s="463"/>
      <c r="B666" s="430" t="s">
        <v>813</v>
      </c>
      <c r="C666" s="711" t="s">
        <v>92</v>
      </c>
      <c r="D666" s="712" t="s">
        <v>537</v>
      </c>
      <c r="E666" s="463">
        <v>70112</v>
      </c>
      <c r="F666" s="711" t="s">
        <v>1063</v>
      </c>
      <c r="G666" s="462">
        <v>4000000</v>
      </c>
      <c r="H666" s="462">
        <v>4000000</v>
      </c>
    </row>
    <row r="667" spans="1:8" ht="21" customHeight="1" x14ac:dyDescent="0.25">
      <c r="A667" s="463"/>
      <c r="B667" s="430" t="s">
        <v>1625</v>
      </c>
      <c r="C667" s="711" t="s">
        <v>92</v>
      </c>
      <c r="D667" s="712" t="s">
        <v>537</v>
      </c>
      <c r="E667" s="463">
        <v>70112</v>
      </c>
      <c r="F667" s="713" t="s">
        <v>1048</v>
      </c>
      <c r="G667" s="462">
        <v>1500000</v>
      </c>
      <c r="H667" s="462">
        <v>1500000</v>
      </c>
    </row>
    <row r="668" spans="1:8" ht="21" customHeight="1" x14ac:dyDescent="0.25">
      <c r="A668" s="463"/>
      <c r="B668" s="430" t="s">
        <v>1626</v>
      </c>
      <c r="C668" s="711" t="s">
        <v>92</v>
      </c>
      <c r="D668" s="712" t="s">
        <v>537</v>
      </c>
      <c r="E668" s="463">
        <v>70112</v>
      </c>
      <c r="F668" s="713" t="s">
        <v>1048</v>
      </c>
      <c r="G668" s="462">
        <v>30000000</v>
      </c>
      <c r="H668" s="462">
        <v>30000000</v>
      </c>
    </row>
    <row r="669" spans="1:8" ht="21" customHeight="1" x14ac:dyDescent="0.25">
      <c r="A669" s="463"/>
      <c r="B669" s="430" t="s">
        <v>1627</v>
      </c>
      <c r="C669" s="711" t="s">
        <v>92</v>
      </c>
      <c r="D669" s="712" t="s">
        <v>537</v>
      </c>
      <c r="E669" s="463">
        <v>70112</v>
      </c>
      <c r="F669" s="713" t="s">
        <v>1048</v>
      </c>
      <c r="G669" s="462">
        <v>5000000</v>
      </c>
      <c r="H669" s="462">
        <v>5000000</v>
      </c>
    </row>
    <row r="670" spans="1:8" ht="21" customHeight="1" x14ac:dyDescent="0.25">
      <c r="A670" s="463"/>
      <c r="B670" s="430" t="s">
        <v>1628</v>
      </c>
      <c r="C670" s="711" t="s">
        <v>92</v>
      </c>
      <c r="D670" s="712" t="s">
        <v>537</v>
      </c>
      <c r="E670" s="463">
        <v>70112</v>
      </c>
      <c r="F670" s="711" t="s">
        <v>1059</v>
      </c>
      <c r="G670" s="462">
        <v>131209471</v>
      </c>
      <c r="H670" s="462">
        <v>131209471</v>
      </c>
    </row>
    <row r="671" spans="1:8" ht="21" customHeight="1" x14ac:dyDescent="0.25">
      <c r="A671" s="463"/>
      <c r="B671" s="447" t="s">
        <v>1629</v>
      </c>
      <c r="C671" s="711" t="s">
        <v>92</v>
      </c>
      <c r="D671" s="712" t="s">
        <v>537</v>
      </c>
      <c r="E671" s="463">
        <v>70112</v>
      </c>
      <c r="F671" s="713" t="s">
        <v>1048</v>
      </c>
      <c r="G671" s="462">
        <v>10000000</v>
      </c>
      <c r="H671" s="462">
        <v>10000000</v>
      </c>
    </row>
    <row r="672" spans="1:8" ht="36.75" customHeight="1" x14ac:dyDescent="0.25">
      <c r="A672" s="463"/>
      <c r="B672" s="430" t="s">
        <v>1630</v>
      </c>
      <c r="C672" s="711" t="s">
        <v>383</v>
      </c>
      <c r="D672" s="712" t="s">
        <v>1631</v>
      </c>
      <c r="E672" s="463">
        <v>70113</v>
      </c>
      <c r="F672" s="713" t="s">
        <v>1048</v>
      </c>
      <c r="G672" s="462"/>
      <c r="H672" s="462">
        <v>20000000</v>
      </c>
    </row>
    <row r="673" spans="1:8" ht="21" customHeight="1" x14ac:dyDescent="0.25">
      <c r="A673" s="463"/>
      <c r="B673" s="870" t="s">
        <v>117</v>
      </c>
      <c r="C673" s="705"/>
      <c r="D673" s="705"/>
      <c r="E673" s="870"/>
      <c r="F673" s="870"/>
      <c r="G673" s="473">
        <f>SUM(G657:G672)</f>
        <v>10024069471</v>
      </c>
      <c r="H673" s="473">
        <f>SUM(H657:H672)</f>
        <v>10044069471</v>
      </c>
    </row>
    <row r="674" spans="1:8" ht="21" customHeight="1" x14ac:dyDescent="0.25">
      <c r="A674" s="463"/>
      <c r="B674" s="436" t="s">
        <v>1632</v>
      </c>
      <c r="C674" s="745" t="s">
        <v>92</v>
      </c>
      <c r="D674" s="746" t="s">
        <v>537</v>
      </c>
      <c r="E674" s="482">
        <v>70411</v>
      </c>
      <c r="F674" s="747" t="s">
        <v>1048</v>
      </c>
      <c r="G674" s="451">
        <v>19800000</v>
      </c>
      <c r="H674" s="451">
        <f>1650000*12</f>
        <v>19800000</v>
      </c>
    </row>
    <row r="675" spans="1:8" ht="21" customHeight="1" x14ac:dyDescent="0.25">
      <c r="A675" s="463"/>
      <c r="B675" s="870" t="s">
        <v>449</v>
      </c>
      <c r="C675" s="705"/>
      <c r="D675" s="705"/>
      <c r="E675" s="870"/>
      <c r="F675" s="870"/>
      <c r="G675" s="473">
        <f>SUM(G673:G674)</f>
        <v>10043869471</v>
      </c>
      <c r="H675" s="473">
        <f>SUM(H673:H674)</f>
        <v>10063869471</v>
      </c>
    </row>
    <row r="676" spans="1:8" ht="30.75" customHeight="1" x14ac:dyDescent="0.25">
      <c r="A676" s="463"/>
      <c r="B676" s="752" t="s">
        <v>1633</v>
      </c>
      <c r="C676" s="772"/>
      <c r="D676" s="712"/>
      <c r="E676" s="753"/>
      <c r="F676" s="753"/>
      <c r="G676" s="753"/>
      <c r="H676" s="463"/>
    </row>
    <row r="677" spans="1:8" ht="21" customHeight="1" x14ac:dyDescent="0.25">
      <c r="A677" s="463"/>
      <c r="B677" s="780" t="s">
        <v>1634</v>
      </c>
      <c r="C677" s="745" t="s">
        <v>92</v>
      </c>
      <c r="D677" s="746" t="s">
        <v>1635</v>
      </c>
      <c r="E677" s="763">
        <v>70112</v>
      </c>
      <c r="F677" s="747" t="s">
        <v>1048</v>
      </c>
      <c r="G677" s="451">
        <v>2400000</v>
      </c>
      <c r="H677" s="451">
        <v>2400000</v>
      </c>
    </row>
    <row r="678" spans="1:8" ht="32.25" customHeight="1" x14ac:dyDescent="0.25">
      <c r="A678" s="463"/>
      <c r="B678" s="732" t="s">
        <v>1636</v>
      </c>
      <c r="C678" s="772"/>
      <c r="D678" s="712"/>
      <c r="E678" s="753"/>
      <c r="F678" s="753"/>
      <c r="G678" s="753"/>
      <c r="H678" s="463"/>
    </row>
    <row r="679" spans="1:8" ht="21" customHeight="1" x14ac:dyDescent="0.25">
      <c r="A679" s="463"/>
      <c r="B679" s="447" t="s">
        <v>1637</v>
      </c>
      <c r="C679" s="711" t="s">
        <v>92</v>
      </c>
      <c r="D679" s="712" t="s">
        <v>107</v>
      </c>
      <c r="E679" s="463">
        <v>70112</v>
      </c>
      <c r="F679" s="713" t="s">
        <v>1048</v>
      </c>
      <c r="G679" s="462">
        <v>2900000000</v>
      </c>
      <c r="H679" s="462">
        <f>2900000000+100000000</f>
        <v>3000000000</v>
      </c>
    </row>
    <row r="680" spans="1:8" ht="68.25" customHeight="1" x14ac:dyDescent="0.25">
      <c r="A680" s="756"/>
      <c r="B680" s="448">
        <v>73</v>
      </c>
      <c r="C680" s="820"/>
      <c r="D680" s="720"/>
      <c r="E680" s="821"/>
      <c r="F680" s="821"/>
      <c r="G680" s="821"/>
      <c r="H680" s="756"/>
    </row>
    <row r="681" spans="1:8" ht="21" customHeight="1" x14ac:dyDescent="0.25">
      <c r="A681" s="463"/>
      <c r="B681" s="752" t="s">
        <v>1638</v>
      </c>
      <c r="C681" s="772"/>
      <c r="D681" s="712"/>
      <c r="E681" s="753"/>
      <c r="F681" s="753"/>
      <c r="G681" s="753"/>
      <c r="H681" s="463"/>
    </row>
    <row r="682" spans="1:8" ht="21" customHeight="1" x14ac:dyDescent="0.25">
      <c r="A682" s="463"/>
      <c r="B682" s="430" t="s">
        <v>1639</v>
      </c>
      <c r="C682" s="711" t="s">
        <v>92</v>
      </c>
      <c r="D682" s="712" t="s">
        <v>970</v>
      </c>
      <c r="E682" s="801">
        <v>70411</v>
      </c>
      <c r="F682" s="711" t="s">
        <v>1059</v>
      </c>
      <c r="G682" s="462">
        <v>3000000</v>
      </c>
      <c r="H682" s="462">
        <v>3000000</v>
      </c>
    </row>
    <row r="683" spans="1:8" ht="21" customHeight="1" x14ac:dyDescent="0.25">
      <c r="A683" s="463"/>
      <c r="B683" s="447" t="s">
        <v>1640</v>
      </c>
      <c r="C683" s="711" t="s">
        <v>92</v>
      </c>
      <c r="D683" s="712" t="s">
        <v>970</v>
      </c>
      <c r="E683" s="801">
        <v>70411</v>
      </c>
      <c r="F683" s="713" t="s">
        <v>1048</v>
      </c>
      <c r="G683" s="462">
        <v>1800000</v>
      </c>
      <c r="H683" s="462">
        <f>1800000+200000</f>
        <v>2000000</v>
      </c>
    </row>
    <row r="684" spans="1:8" ht="21" customHeight="1" x14ac:dyDescent="0.25">
      <c r="A684" s="463"/>
      <c r="B684" s="430" t="s">
        <v>1641</v>
      </c>
      <c r="C684" s="711" t="s">
        <v>92</v>
      </c>
      <c r="D684" s="712" t="s">
        <v>970</v>
      </c>
      <c r="E684" s="801">
        <v>70411</v>
      </c>
      <c r="F684" s="711" t="s">
        <v>1642</v>
      </c>
      <c r="G684" s="462">
        <v>24850000</v>
      </c>
      <c r="H684" s="462">
        <f>24850000+10000000</f>
        <v>34850000</v>
      </c>
    </row>
    <row r="685" spans="1:8" ht="21" customHeight="1" x14ac:dyDescent="0.25">
      <c r="A685" s="463"/>
      <c r="B685" s="430" t="s">
        <v>1643</v>
      </c>
      <c r="C685" s="711" t="s">
        <v>92</v>
      </c>
      <c r="D685" s="712" t="s">
        <v>970</v>
      </c>
      <c r="E685" s="783">
        <v>70411</v>
      </c>
      <c r="F685" s="777" t="s">
        <v>1642</v>
      </c>
      <c r="G685" s="462">
        <v>35000000</v>
      </c>
      <c r="H685" s="462">
        <v>35000000</v>
      </c>
    </row>
    <row r="686" spans="1:8" ht="21" customHeight="1" x14ac:dyDescent="0.25">
      <c r="A686" s="463"/>
      <c r="B686" s="430" t="s">
        <v>1644</v>
      </c>
      <c r="C686" s="711" t="s">
        <v>383</v>
      </c>
      <c r="D686" s="712" t="s">
        <v>1645</v>
      </c>
      <c r="E686" s="783">
        <v>70412</v>
      </c>
      <c r="F686" s="777" t="s">
        <v>1642</v>
      </c>
      <c r="G686" s="462">
        <v>35000001</v>
      </c>
      <c r="H686" s="462">
        <v>15000000</v>
      </c>
    </row>
    <row r="687" spans="1:8" ht="21" customHeight="1" x14ac:dyDescent="0.25">
      <c r="A687" s="463"/>
      <c r="B687" s="430" t="s">
        <v>1646</v>
      </c>
      <c r="C687" s="711" t="s">
        <v>92</v>
      </c>
      <c r="D687" s="712" t="s">
        <v>970</v>
      </c>
      <c r="E687" s="783">
        <v>70411</v>
      </c>
      <c r="F687" s="777" t="s">
        <v>1642</v>
      </c>
      <c r="G687" s="462">
        <v>10000000</v>
      </c>
      <c r="H687" s="462">
        <v>10000000</v>
      </c>
    </row>
    <row r="688" spans="1:8" ht="21" customHeight="1" x14ac:dyDescent="0.25">
      <c r="A688" s="463"/>
      <c r="B688" s="430" t="s">
        <v>1647</v>
      </c>
      <c r="C688" s="711" t="s">
        <v>92</v>
      </c>
      <c r="D688" s="712" t="s">
        <v>1648</v>
      </c>
      <c r="E688" s="783">
        <v>70411</v>
      </c>
      <c r="F688" s="822" t="s">
        <v>1048</v>
      </c>
      <c r="G688" s="462">
        <v>20000000</v>
      </c>
      <c r="H688" s="462">
        <v>20000000</v>
      </c>
    </row>
    <row r="689" spans="1:9" ht="21" customHeight="1" x14ac:dyDescent="0.25">
      <c r="A689" s="463"/>
      <c r="B689" s="447" t="s">
        <v>1649</v>
      </c>
      <c r="C689" s="711" t="s">
        <v>92</v>
      </c>
      <c r="D689" s="712" t="s">
        <v>1650</v>
      </c>
      <c r="E689" s="801">
        <v>70411</v>
      </c>
      <c r="F689" s="711" t="s">
        <v>1059</v>
      </c>
      <c r="G689" s="462">
        <v>70000000</v>
      </c>
      <c r="H689" s="462">
        <v>70000000</v>
      </c>
    </row>
    <row r="690" spans="1:9" ht="21" customHeight="1" x14ac:dyDescent="0.25">
      <c r="A690" s="463"/>
      <c r="B690" s="430" t="s">
        <v>1338</v>
      </c>
      <c r="C690" s="711" t="s">
        <v>92</v>
      </c>
      <c r="D690" s="712" t="s">
        <v>970</v>
      </c>
      <c r="E690" s="801">
        <v>70411</v>
      </c>
      <c r="F690" s="713" t="s">
        <v>1048</v>
      </c>
      <c r="G690" s="462">
        <v>5000000</v>
      </c>
      <c r="H690" s="462">
        <v>5000000</v>
      </c>
    </row>
    <row r="691" spans="1:9" ht="21" customHeight="1" x14ac:dyDescent="0.25">
      <c r="A691" s="463"/>
      <c r="B691" s="430" t="s">
        <v>1651</v>
      </c>
      <c r="C691" s="711" t="s">
        <v>92</v>
      </c>
      <c r="D691" s="712" t="s">
        <v>970</v>
      </c>
      <c r="E691" s="801">
        <v>70411</v>
      </c>
      <c r="F691" s="711" t="s">
        <v>1059</v>
      </c>
      <c r="G691" s="462">
        <v>1200000</v>
      </c>
      <c r="H691" s="462">
        <f>1200000+2400000</f>
        <v>3600000</v>
      </c>
    </row>
    <row r="692" spans="1:9" ht="21" customHeight="1" x14ac:dyDescent="0.25">
      <c r="A692" s="463"/>
      <c r="B692" s="447" t="s">
        <v>1361</v>
      </c>
      <c r="C692" s="711" t="s">
        <v>92</v>
      </c>
      <c r="D692" s="712" t="s">
        <v>970</v>
      </c>
      <c r="E692" s="801">
        <v>70411</v>
      </c>
      <c r="F692" s="713" t="s">
        <v>1048</v>
      </c>
      <c r="G692" s="462">
        <v>80000000</v>
      </c>
      <c r="H692" s="462">
        <v>80000000</v>
      </c>
      <c r="I692" s="450"/>
    </row>
    <row r="693" spans="1:9" ht="21" customHeight="1" x14ac:dyDescent="0.25">
      <c r="A693" s="463"/>
      <c r="B693" s="447" t="s">
        <v>1652</v>
      </c>
      <c r="C693" s="711" t="s">
        <v>92</v>
      </c>
      <c r="D693" s="712" t="s">
        <v>970</v>
      </c>
      <c r="E693" s="801">
        <v>70411</v>
      </c>
      <c r="F693" s="713" t="s">
        <v>1048</v>
      </c>
      <c r="G693" s="462">
        <v>3750000</v>
      </c>
      <c r="H693" s="462">
        <v>3750000</v>
      </c>
    </row>
    <row r="694" spans="1:9" ht="21" customHeight="1" x14ac:dyDescent="0.25">
      <c r="A694" s="463"/>
      <c r="B694" s="447" t="s">
        <v>1653</v>
      </c>
      <c r="C694" s="711" t="s">
        <v>92</v>
      </c>
      <c r="D694" s="712" t="s">
        <v>970</v>
      </c>
      <c r="E694" s="801">
        <v>70411</v>
      </c>
      <c r="F694" s="713" t="s">
        <v>1048</v>
      </c>
      <c r="G694" s="462">
        <v>11800000</v>
      </c>
      <c r="H694" s="462">
        <v>11800000</v>
      </c>
    </row>
    <row r="695" spans="1:9" ht="21" customHeight="1" x14ac:dyDescent="0.25">
      <c r="A695" s="463"/>
      <c r="B695" s="447" t="s">
        <v>1654</v>
      </c>
      <c r="C695" s="711" t="s">
        <v>92</v>
      </c>
      <c r="D695" s="712" t="s">
        <v>970</v>
      </c>
      <c r="E695" s="801">
        <v>70411</v>
      </c>
      <c r="F695" s="711" t="s">
        <v>1642</v>
      </c>
      <c r="G695" s="462">
        <v>25000000</v>
      </c>
      <c r="H695" s="462">
        <v>25000000</v>
      </c>
    </row>
    <row r="696" spans="1:9" ht="21" customHeight="1" x14ac:dyDescent="0.25">
      <c r="A696" s="463"/>
      <c r="B696" s="447" t="s">
        <v>1655</v>
      </c>
      <c r="C696" s="711" t="s">
        <v>92</v>
      </c>
      <c r="D696" s="712" t="s">
        <v>970</v>
      </c>
      <c r="E696" s="801">
        <v>70411</v>
      </c>
      <c r="F696" s="711" t="s">
        <v>1642</v>
      </c>
      <c r="G696" s="462">
        <v>20000000</v>
      </c>
      <c r="H696" s="462">
        <f>20000000+10000000</f>
        <v>30000000</v>
      </c>
    </row>
    <row r="697" spans="1:9" ht="21" customHeight="1" x14ac:dyDescent="0.25">
      <c r="A697" s="463"/>
      <c r="B697" s="447" t="s">
        <v>1656</v>
      </c>
      <c r="C697" s="711" t="s">
        <v>92</v>
      </c>
      <c r="D697" s="712" t="s">
        <v>970</v>
      </c>
      <c r="E697" s="801">
        <v>70411</v>
      </c>
      <c r="F697" s="711" t="s">
        <v>1642</v>
      </c>
      <c r="G697" s="462">
        <v>6540000</v>
      </c>
      <c r="H697" s="462">
        <f>6540000+20000000</f>
        <v>26540000</v>
      </c>
    </row>
    <row r="698" spans="1:9" ht="33.75" customHeight="1" x14ac:dyDescent="0.25">
      <c r="A698" s="463"/>
      <c r="B698" s="430" t="s">
        <v>1657</v>
      </c>
      <c r="C698" s="711" t="s">
        <v>92</v>
      </c>
      <c r="D698" s="712" t="s">
        <v>970</v>
      </c>
      <c r="E698" s="801">
        <v>70411</v>
      </c>
      <c r="F698" s="711" t="s">
        <v>1061</v>
      </c>
      <c r="G698" s="462">
        <v>15000000</v>
      </c>
      <c r="H698" s="462">
        <v>15000000</v>
      </c>
    </row>
    <row r="699" spans="1:9" ht="21" customHeight="1" x14ac:dyDescent="0.25">
      <c r="A699" s="463"/>
      <c r="B699" s="430" t="s">
        <v>1658</v>
      </c>
      <c r="C699" s="711" t="s">
        <v>92</v>
      </c>
      <c r="D699" s="712" t="s">
        <v>970</v>
      </c>
      <c r="E699" s="801">
        <v>70411</v>
      </c>
      <c r="F699" s="711" t="s">
        <v>1659</v>
      </c>
      <c r="G699" s="462">
        <v>56630000</v>
      </c>
      <c r="H699" s="462">
        <v>16630000</v>
      </c>
    </row>
    <row r="700" spans="1:9" ht="21" customHeight="1" x14ac:dyDescent="0.25">
      <c r="A700" s="463"/>
      <c r="B700" s="430" t="s">
        <v>1660</v>
      </c>
      <c r="C700" s="711" t="s">
        <v>92</v>
      </c>
      <c r="D700" s="712" t="s">
        <v>970</v>
      </c>
      <c r="E700" s="783">
        <v>70411</v>
      </c>
      <c r="F700" s="777" t="s">
        <v>1642</v>
      </c>
      <c r="G700" s="462">
        <v>42000000</v>
      </c>
      <c r="H700" s="462">
        <f>42000000+10000000</f>
        <v>52000000</v>
      </c>
    </row>
    <row r="701" spans="1:9" ht="21" customHeight="1" x14ac:dyDescent="0.25">
      <c r="A701" s="463"/>
      <c r="B701" s="430" t="s">
        <v>1661</v>
      </c>
      <c r="C701" s="745" t="s">
        <v>92</v>
      </c>
      <c r="D701" s="746" t="s">
        <v>970</v>
      </c>
      <c r="E701" s="785">
        <v>70411</v>
      </c>
      <c r="F701" s="823" t="s">
        <v>1059</v>
      </c>
      <c r="G701" s="451">
        <v>1800000</v>
      </c>
      <c r="H701" s="451">
        <v>1800000</v>
      </c>
    </row>
    <row r="702" spans="1:9" ht="21" customHeight="1" x14ac:dyDescent="0.25">
      <c r="A702" s="463"/>
      <c r="B702" s="430" t="s">
        <v>1662</v>
      </c>
      <c r="C702" s="711" t="s">
        <v>92</v>
      </c>
      <c r="D702" s="712" t="s">
        <v>970</v>
      </c>
      <c r="E702" s="783">
        <v>70411</v>
      </c>
      <c r="F702" s="777" t="s">
        <v>1663</v>
      </c>
      <c r="G702" s="462">
        <v>3600000</v>
      </c>
      <c r="H702" s="462">
        <v>3600000</v>
      </c>
    </row>
    <row r="703" spans="1:9" ht="21" customHeight="1" x14ac:dyDescent="0.25">
      <c r="A703" s="463"/>
      <c r="B703" s="447" t="s">
        <v>1664</v>
      </c>
      <c r="C703" s="711" t="s">
        <v>92</v>
      </c>
      <c r="D703" s="712" t="s">
        <v>970</v>
      </c>
      <c r="E703" s="801">
        <v>70411</v>
      </c>
      <c r="F703" s="711" t="s">
        <v>1059</v>
      </c>
      <c r="G703" s="462">
        <v>10000000</v>
      </c>
      <c r="H703" s="462">
        <v>10000000</v>
      </c>
    </row>
    <row r="704" spans="1:9" ht="21" customHeight="1" x14ac:dyDescent="0.25">
      <c r="A704" s="463"/>
      <c r="B704" s="447" t="s">
        <v>1665</v>
      </c>
      <c r="C704" s="711" t="s">
        <v>92</v>
      </c>
      <c r="D704" s="712" t="s">
        <v>970</v>
      </c>
      <c r="E704" s="801">
        <v>70411</v>
      </c>
      <c r="F704" s="713" t="s">
        <v>1048</v>
      </c>
      <c r="G704" s="462">
        <v>15000000</v>
      </c>
      <c r="H704" s="462">
        <v>15000000</v>
      </c>
    </row>
    <row r="705" spans="1:9" ht="21" customHeight="1" x14ac:dyDescent="0.25">
      <c r="A705" s="463"/>
      <c r="B705" s="447" t="s">
        <v>1666</v>
      </c>
      <c r="C705" s="711" t="s">
        <v>92</v>
      </c>
      <c r="D705" s="712" t="s">
        <v>970</v>
      </c>
      <c r="E705" s="801">
        <v>70411</v>
      </c>
      <c r="F705" s="713" t="s">
        <v>1048</v>
      </c>
      <c r="G705" s="462">
        <v>73700000</v>
      </c>
      <c r="H705" s="462">
        <v>73700000</v>
      </c>
    </row>
    <row r="706" spans="1:9" ht="21" customHeight="1" x14ac:dyDescent="0.25">
      <c r="A706" s="463"/>
      <c r="B706" s="430" t="s">
        <v>1667</v>
      </c>
      <c r="C706" s="711" t="s">
        <v>92</v>
      </c>
      <c r="D706" s="712" t="s">
        <v>970</v>
      </c>
      <c r="E706" s="801">
        <v>70411</v>
      </c>
      <c r="F706" s="711" t="s">
        <v>1668</v>
      </c>
      <c r="G706" s="462">
        <v>6000000</v>
      </c>
      <c r="H706" s="462">
        <v>6000000</v>
      </c>
    </row>
    <row r="707" spans="1:9" ht="74.25" customHeight="1" x14ac:dyDescent="0.25">
      <c r="A707" s="756"/>
      <c r="B707" s="449">
        <v>74</v>
      </c>
      <c r="C707" s="722"/>
      <c r="D707" s="720"/>
      <c r="E707" s="824"/>
      <c r="F707" s="722"/>
      <c r="G707" s="759"/>
      <c r="H707" s="759"/>
    </row>
    <row r="708" spans="1:9" ht="21" customHeight="1" x14ac:dyDescent="0.25">
      <c r="A708" s="463"/>
      <c r="B708" s="871" t="s">
        <v>1669</v>
      </c>
      <c r="C708" s="711"/>
      <c r="D708" s="712"/>
      <c r="E708" s="801"/>
      <c r="F708" s="711"/>
      <c r="G708" s="462"/>
      <c r="H708" s="462"/>
    </row>
    <row r="709" spans="1:9" ht="21" customHeight="1" x14ac:dyDescent="0.25">
      <c r="A709" s="463"/>
      <c r="B709" s="430" t="s">
        <v>1670</v>
      </c>
      <c r="C709" s="711" t="s">
        <v>92</v>
      </c>
      <c r="D709" s="712" t="s">
        <v>970</v>
      </c>
      <c r="E709" s="801">
        <v>70411</v>
      </c>
      <c r="F709" s="713" t="s">
        <v>1048</v>
      </c>
      <c r="G709" s="462">
        <v>14000000</v>
      </c>
      <c r="H709" s="462">
        <f>14000000+10000000</f>
        <v>24000000</v>
      </c>
    </row>
    <row r="710" spans="1:9" ht="21" customHeight="1" x14ac:dyDescent="0.25">
      <c r="A710" s="463"/>
      <c r="B710" s="430" t="s">
        <v>1671</v>
      </c>
      <c r="C710" s="711" t="s">
        <v>92</v>
      </c>
      <c r="D710" s="712" t="s">
        <v>970</v>
      </c>
      <c r="E710" s="801">
        <v>70411</v>
      </c>
      <c r="F710" s="711" t="s">
        <v>1642</v>
      </c>
      <c r="G710" s="462">
        <v>100000000</v>
      </c>
      <c r="H710" s="462">
        <v>100000000</v>
      </c>
    </row>
    <row r="711" spans="1:9" ht="21" customHeight="1" x14ac:dyDescent="0.25">
      <c r="A711" s="463"/>
      <c r="B711" s="430" t="s">
        <v>1672</v>
      </c>
      <c r="C711" s="711" t="s">
        <v>92</v>
      </c>
      <c r="D711" s="712" t="s">
        <v>970</v>
      </c>
      <c r="E711" s="801">
        <v>70411</v>
      </c>
      <c r="F711" s="713" t="s">
        <v>1048</v>
      </c>
      <c r="G711" s="462">
        <v>20000000</v>
      </c>
      <c r="H711" s="462">
        <v>20000000</v>
      </c>
    </row>
    <row r="712" spans="1:9" ht="21" customHeight="1" x14ac:dyDescent="0.25">
      <c r="A712" s="463"/>
      <c r="B712" s="430" t="s">
        <v>1673</v>
      </c>
      <c r="C712" s="711" t="s">
        <v>383</v>
      </c>
      <c r="D712" s="712" t="s">
        <v>1645</v>
      </c>
      <c r="E712" s="801">
        <v>70412</v>
      </c>
      <c r="F712" s="713" t="s">
        <v>1048</v>
      </c>
      <c r="G712" s="462">
        <v>12000000</v>
      </c>
      <c r="H712" s="462">
        <v>12000000</v>
      </c>
    </row>
    <row r="713" spans="1:9" ht="21" customHeight="1" x14ac:dyDescent="0.25">
      <c r="A713" s="463"/>
      <c r="B713" s="430" t="s">
        <v>1674</v>
      </c>
      <c r="C713" s="711" t="s">
        <v>92</v>
      </c>
      <c r="D713" s="712" t="s">
        <v>970</v>
      </c>
      <c r="E713" s="783">
        <v>70411</v>
      </c>
      <c r="F713" s="822" t="s">
        <v>1048</v>
      </c>
      <c r="G713" s="462">
        <v>20000000</v>
      </c>
      <c r="H713" s="462">
        <f>20000000+10000000</f>
        <v>30000000</v>
      </c>
    </row>
    <row r="714" spans="1:9" ht="21" customHeight="1" x14ac:dyDescent="0.25">
      <c r="A714" s="463"/>
      <c r="B714" s="430" t="s">
        <v>1675</v>
      </c>
      <c r="C714" s="711" t="s">
        <v>92</v>
      </c>
      <c r="D714" s="712" t="s">
        <v>970</v>
      </c>
      <c r="E714" s="801">
        <v>70411</v>
      </c>
      <c r="F714" s="825" t="s">
        <v>1048</v>
      </c>
      <c r="G714" s="462">
        <v>2000000</v>
      </c>
      <c r="H714" s="462">
        <f>2000000+2000000</f>
        <v>4000000</v>
      </c>
    </row>
    <row r="715" spans="1:9" ht="21" customHeight="1" x14ac:dyDescent="0.25">
      <c r="A715" s="463"/>
      <c r="B715" s="430" t="s">
        <v>2074</v>
      </c>
      <c r="C715" s="711"/>
      <c r="D715" s="712"/>
      <c r="E715" s="801"/>
      <c r="F715" s="825"/>
      <c r="G715" s="462"/>
      <c r="H715" s="462">
        <v>100000000</v>
      </c>
    </row>
    <row r="716" spans="1:9" ht="21" customHeight="1" x14ac:dyDescent="0.25">
      <c r="A716" s="463"/>
      <c r="B716" s="870" t="s">
        <v>117</v>
      </c>
      <c r="C716" s="711"/>
      <c r="D716" s="712"/>
      <c r="E716" s="870"/>
      <c r="F716" s="730"/>
      <c r="G716" s="473">
        <f>SUM(G682:G714)</f>
        <v>744670001</v>
      </c>
      <c r="H716" s="473">
        <f>SUM(H682:H715)</f>
        <v>859270000</v>
      </c>
    </row>
    <row r="717" spans="1:9" ht="21" customHeight="1" x14ac:dyDescent="0.25">
      <c r="A717" s="463"/>
      <c r="B717" s="870" t="s">
        <v>1676</v>
      </c>
      <c r="C717" s="711"/>
      <c r="D717" s="712"/>
      <c r="E717" s="870"/>
      <c r="F717" s="730"/>
      <c r="G717" s="473"/>
      <c r="H717" s="473"/>
    </row>
    <row r="718" spans="1:9" ht="21" customHeight="1" x14ac:dyDescent="0.25">
      <c r="A718" s="463"/>
      <c r="B718" s="436" t="s">
        <v>1677</v>
      </c>
      <c r="C718" s="745" t="s">
        <v>92</v>
      </c>
      <c r="D718" s="746" t="s">
        <v>970</v>
      </c>
      <c r="E718" s="791">
        <v>70411</v>
      </c>
      <c r="F718" s="826" t="s">
        <v>1048</v>
      </c>
      <c r="G718" s="451">
        <v>19800000</v>
      </c>
      <c r="H718" s="451">
        <v>19800000</v>
      </c>
    </row>
    <row r="719" spans="1:9" ht="21" customHeight="1" x14ac:dyDescent="0.25">
      <c r="A719" s="463"/>
      <c r="B719" s="436" t="s">
        <v>1678</v>
      </c>
      <c r="C719" s="745" t="s">
        <v>92</v>
      </c>
      <c r="D719" s="746" t="s">
        <v>970</v>
      </c>
      <c r="E719" s="791">
        <v>70411</v>
      </c>
      <c r="F719" s="826" t="s">
        <v>1048</v>
      </c>
      <c r="G719" s="451">
        <v>4800000</v>
      </c>
      <c r="H719" s="451">
        <f>4800000+400000</f>
        <v>5200000</v>
      </c>
    </row>
    <row r="720" spans="1:9" ht="21" customHeight="1" x14ac:dyDescent="0.25">
      <c r="A720" s="463"/>
      <c r="B720" s="436" t="s">
        <v>1679</v>
      </c>
      <c r="C720" s="745" t="s">
        <v>92</v>
      </c>
      <c r="D720" s="746" t="s">
        <v>970</v>
      </c>
      <c r="E720" s="791">
        <v>70411</v>
      </c>
      <c r="F720" s="826" t="s">
        <v>1048</v>
      </c>
      <c r="G720" s="451">
        <v>2400000</v>
      </c>
      <c r="H720" s="451">
        <f>2400000+2000000</f>
        <v>4400000</v>
      </c>
      <c r="I720" s="450"/>
    </row>
    <row r="721" spans="1:10" ht="21" customHeight="1" x14ac:dyDescent="0.25">
      <c r="A721" s="463"/>
      <c r="B721" s="872" t="s">
        <v>117</v>
      </c>
      <c r="C721" s="748"/>
      <c r="D721" s="749"/>
      <c r="E721" s="794"/>
      <c r="F721" s="827"/>
      <c r="G721" s="761">
        <f>SUM(G718:G720)</f>
        <v>27000000</v>
      </c>
      <c r="H721" s="761">
        <f>SUM(H718:H720)</f>
        <v>29400000</v>
      </c>
      <c r="I721" s="450"/>
    </row>
    <row r="722" spans="1:10" s="433" customFormat="1" ht="21" customHeight="1" x14ac:dyDescent="0.25">
      <c r="A722" s="870"/>
      <c r="B722" s="872" t="s">
        <v>449</v>
      </c>
      <c r="C722" s="748"/>
      <c r="D722" s="749"/>
      <c r="E722" s="794"/>
      <c r="F722" s="827"/>
      <c r="G722" s="761">
        <f>G716+G721</f>
        <v>771670001</v>
      </c>
      <c r="H722" s="761">
        <f>H716+H721</f>
        <v>888670000</v>
      </c>
      <c r="I722" s="432"/>
      <c r="J722" s="432"/>
    </row>
    <row r="723" spans="1:10" s="433" customFormat="1" ht="66.75" customHeight="1" x14ac:dyDescent="0.25">
      <c r="A723" s="474"/>
      <c r="B723" s="764">
        <v>75</v>
      </c>
      <c r="C723" s="795"/>
      <c r="D723" s="796"/>
      <c r="E723" s="797"/>
      <c r="F723" s="828"/>
      <c r="G723" s="766"/>
      <c r="H723" s="766"/>
      <c r="I723" s="432"/>
      <c r="J723" s="432"/>
    </row>
    <row r="724" spans="1:10" ht="21" customHeight="1" x14ac:dyDescent="0.25">
      <c r="A724" s="463"/>
      <c r="B724" s="752" t="s">
        <v>971</v>
      </c>
      <c r="C724" s="772"/>
      <c r="D724" s="712"/>
      <c r="E724" s="829"/>
      <c r="F724" s="829"/>
      <c r="G724" s="829"/>
      <c r="H724" s="463"/>
    </row>
    <row r="725" spans="1:10" ht="21" customHeight="1" x14ac:dyDescent="0.25">
      <c r="A725" s="463"/>
      <c r="B725" s="430" t="s">
        <v>1680</v>
      </c>
      <c r="C725" s="711"/>
      <c r="D725" s="712" t="s">
        <v>972</v>
      </c>
      <c r="E725" s="481" t="s">
        <v>539</v>
      </c>
      <c r="F725" s="711" t="s">
        <v>1059</v>
      </c>
      <c r="G725" s="462">
        <v>460000000</v>
      </c>
      <c r="H725" s="462">
        <v>460000000</v>
      </c>
    </row>
    <row r="726" spans="1:10" ht="20.100000000000001" customHeight="1" x14ac:dyDescent="0.25">
      <c r="A726" s="463"/>
      <c r="B726" s="430" t="s">
        <v>1681</v>
      </c>
      <c r="C726" s="711" t="s">
        <v>92</v>
      </c>
      <c r="D726" s="712" t="s">
        <v>972</v>
      </c>
      <c r="E726" s="481" t="s">
        <v>539</v>
      </c>
      <c r="F726" s="711" t="s">
        <v>1059</v>
      </c>
      <c r="G726" s="462">
        <v>150000000</v>
      </c>
      <c r="H726" s="462">
        <v>150000000</v>
      </c>
    </row>
    <row r="727" spans="1:10" ht="20.100000000000001" customHeight="1" x14ac:dyDescent="0.25">
      <c r="A727" s="463"/>
      <c r="B727" s="430" t="s">
        <v>1682</v>
      </c>
      <c r="C727" s="711" t="s">
        <v>92</v>
      </c>
      <c r="D727" s="712" t="s">
        <v>972</v>
      </c>
      <c r="E727" s="481" t="s">
        <v>539</v>
      </c>
      <c r="F727" s="711" t="s">
        <v>1059</v>
      </c>
      <c r="G727" s="462">
        <v>36950000</v>
      </c>
      <c r="H727" s="462">
        <v>36950000</v>
      </c>
    </row>
    <row r="728" spans="1:10" ht="20.100000000000001" customHeight="1" x14ac:dyDescent="0.25">
      <c r="A728" s="463"/>
      <c r="B728" s="430" t="s">
        <v>1683</v>
      </c>
      <c r="C728" s="711" t="s">
        <v>92</v>
      </c>
      <c r="D728" s="712" t="s">
        <v>1684</v>
      </c>
      <c r="E728" s="481" t="s">
        <v>432</v>
      </c>
      <c r="F728" s="711" t="s">
        <v>1059</v>
      </c>
      <c r="G728" s="462">
        <v>400000000</v>
      </c>
      <c r="H728" s="462">
        <v>400000000</v>
      </c>
    </row>
    <row r="729" spans="1:10" ht="20.100000000000001" customHeight="1" x14ac:dyDescent="0.25">
      <c r="A729" s="463"/>
      <c r="B729" s="430" t="s">
        <v>1685</v>
      </c>
      <c r="C729" s="711" t="s">
        <v>92</v>
      </c>
      <c r="D729" s="712" t="s">
        <v>1684</v>
      </c>
      <c r="E729" s="481" t="s">
        <v>432</v>
      </c>
      <c r="F729" s="711" t="s">
        <v>1059</v>
      </c>
      <c r="G729" s="462">
        <v>7600000000</v>
      </c>
      <c r="H729" s="462">
        <f>7600000000</f>
        <v>7600000000</v>
      </c>
      <c r="I729" s="478"/>
    </row>
    <row r="730" spans="1:10" ht="20.100000000000001" customHeight="1" x14ac:dyDescent="0.25">
      <c r="A730" s="463"/>
      <c r="B730" s="430" t="s">
        <v>1686</v>
      </c>
      <c r="C730" s="711" t="s">
        <v>92</v>
      </c>
      <c r="D730" s="712" t="s">
        <v>1687</v>
      </c>
      <c r="E730" s="481" t="s">
        <v>539</v>
      </c>
      <c r="F730" s="713" t="s">
        <v>1048</v>
      </c>
      <c r="G730" s="462">
        <v>2100000</v>
      </c>
      <c r="H730" s="462">
        <v>2100000</v>
      </c>
      <c r="I730" s="479"/>
    </row>
    <row r="731" spans="1:10" ht="20.100000000000001" customHeight="1" x14ac:dyDescent="0.25">
      <c r="A731" s="463"/>
      <c r="B731" s="447" t="s">
        <v>1688</v>
      </c>
      <c r="C731" s="711" t="s">
        <v>92</v>
      </c>
      <c r="D731" s="712" t="s">
        <v>972</v>
      </c>
      <c r="E731" s="481" t="s">
        <v>539</v>
      </c>
      <c r="F731" s="713" t="s">
        <v>1048</v>
      </c>
      <c r="G731" s="462">
        <v>13550000</v>
      </c>
      <c r="H731" s="462">
        <v>13550000</v>
      </c>
    </row>
    <row r="732" spans="1:10" ht="20.100000000000001" customHeight="1" x14ac:dyDescent="0.25">
      <c r="A732" s="463"/>
      <c r="B732" s="447" t="s">
        <v>1689</v>
      </c>
      <c r="C732" s="711" t="s">
        <v>92</v>
      </c>
      <c r="D732" s="712" t="s">
        <v>972</v>
      </c>
      <c r="E732" s="481" t="s">
        <v>539</v>
      </c>
      <c r="F732" s="713" t="s">
        <v>1048</v>
      </c>
      <c r="G732" s="462">
        <v>2850000</v>
      </c>
      <c r="H732" s="462">
        <v>2850000</v>
      </c>
    </row>
    <row r="733" spans="1:10" ht="20.100000000000001" customHeight="1" x14ac:dyDescent="0.25">
      <c r="A733" s="463"/>
      <c r="B733" s="480" t="s">
        <v>1690</v>
      </c>
      <c r="C733" s="710" t="s">
        <v>92</v>
      </c>
      <c r="D733" s="710" t="s">
        <v>972</v>
      </c>
      <c r="E733" s="480" t="s">
        <v>539</v>
      </c>
      <c r="F733" s="480" t="s">
        <v>1056</v>
      </c>
      <c r="G733" s="830">
        <v>17600000</v>
      </c>
      <c r="H733" s="830">
        <v>17600000</v>
      </c>
    </row>
    <row r="734" spans="1:10" ht="33" customHeight="1" x14ac:dyDescent="0.25">
      <c r="A734" s="463"/>
      <c r="B734" s="430" t="s">
        <v>1691</v>
      </c>
      <c r="C734" s="711" t="s">
        <v>92</v>
      </c>
      <c r="D734" s="712" t="s">
        <v>972</v>
      </c>
      <c r="E734" s="481" t="s">
        <v>539</v>
      </c>
      <c r="F734" s="711" t="s">
        <v>1059</v>
      </c>
      <c r="G734" s="462">
        <v>100000000</v>
      </c>
      <c r="H734" s="462">
        <v>100000000</v>
      </c>
    </row>
    <row r="735" spans="1:10" ht="20.100000000000001" customHeight="1" x14ac:dyDescent="0.25">
      <c r="A735" s="463"/>
      <c r="B735" s="430" t="s">
        <v>1692</v>
      </c>
      <c r="C735" s="711" t="s">
        <v>92</v>
      </c>
      <c r="D735" s="712" t="s">
        <v>972</v>
      </c>
      <c r="E735" s="481" t="s">
        <v>539</v>
      </c>
      <c r="F735" s="711" t="s">
        <v>1059</v>
      </c>
      <c r="G735" s="462">
        <v>20000000</v>
      </c>
      <c r="H735" s="462">
        <v>20000000</v>
      </c>
    </row>
    <row r="736" spans="1:10" ht="20.100000000000001" customHeight="1" x14ac:dyDescent="0.25">
      <c r="A736" s="463"/>
      <c r="B736" s="430" t="s">
        <v>1693</v>
      </c>
      <c r="C736" s="711" t="s">
        <v>92</v>
      </c>
      <c r="D736" s="712" t="s">
        <v>972</v>
      </c>
      <c r="E736" s="481" t="s">
        <v>539</v>
      </c>
      <c r="F736" s="711" t="s">
        <v>1059</v>
      </c>
      <c r="G736" s="462">
        <v>1000000</v>
      </c>
      <c r="H736" s="462">
        <v>1000000</v>
      </c>
    </row>
    <row r="737" spans="1:10" ht="20.100000000000001" customHeight="1" x14ac:dyDescent="0.25">
      <c r="A737" s="463"/>
      <c r="B737" s="430" t="s">
        <v>1694</v>
      </c>
      <c r="C737" s="711" t="s">
        <v>92</v>
      </c>
      <c r="D737" s="712" t="s">
        <v>972</v>
      </c>
      <c r="E737" s="481" t="s">
        <v>539</v>
      </c>
      <c r="F737" s="711" t="s">
        <v>1695</v>
      </c>
      <c r="G737" s="462">
        <v>9000000</v>
      </c>
      <c r="H737" s="462">
        <v>9000000</v>
      </c>
    </row>
    <row r="738" spans="1:10" ht="20.100000000000001" customHeight="1" x14ac:dyDescent="0.25">
      <c r="A738" s="463"/>
      <c r="B738" s="430" t="s">
        <v>1696</v>
      </c>
      <c r="C738" s="711" t="s">
        <v>92</v>
      </c>
      <c r="D738" s="712" t="s">
        <v>972</v>
      </c>
      <c r="E738" s="481" t="s">
        <v>539</v>
      </c>
      <c r="F738" s="711" t="s">
        <v>1059</v>
      </c>
      <c r="G738" s="462">
        <v>15000000</v>
      </c>
      <c r="H738" s="462">
        <v>15000000</v>
      </c>
    </row>
    <row r="739" spans="1:10" ht="20.100000000000001" customHeight="1" x14ac:dyDescent="0.25">
      <c r="A739" s="463"/>
      <c r="B739" s="447" t="s">
        <v>1697</v>
      </c>
      <c r="C739" s="711" t="s">
        <v>92</v>
      </c>
      <c r="D739" s="712" t="s">
        <v>972</v>
      </c>
      <c r="E739" s="481" t="s">
        <v>539</v>
      </c>
      <c r="F739" s="711" t="s">
        <v>1059</v>
      </c>
      <c r="G739" s="462">
        <v>3500000</v>
      </c>
      <c r="H739" s="462">
        <v>3500000</v>
      </c>
    </row>
    <row r="740" spans="1:10" ht="20.100000000000001" customHeight="1" x14ac:dyDescent="0.25">
      <c r="A740" s="463"/>
      <c r="B740" s="447" t="s">
        <v>1698</v>
      </c>
      <c r="C740" s="711" t="s">
        <v>92</v>
      </c>
      <c r="D740" s="712" t="s">
        <v>972</v>
      </c>
      <c r="E740" s="481" t="s">
        <v>539</v>
      </c>
      <c r="F740" s="711" t="s">
        <v>1046</v>
      </c>
      <c r="G740" s="462">
        <v>10000000</v>
      </c>
      <c r="H740" s="462">
        <v>10000000</v>
      </c>
    </row>
    <row r="741" spans="1:10" ht="20.100000000000001" customHeight="1" x14ac:dyDescent="0.25">
      <c r="A741" s="463"/>
      <c r="B741" s="430" t="s">
        <v>1699</v>
      </c>
      <c r="C741" s="711" t="s">
        <v>92</v>
      </c>
      <c r="D741" s="712" t="s">
        <v>972</v>
      </c>
      <c r="E741" s="481" t="s">
        <v>539</v>
      </c>
      <c r="F741" s="711" t="s">
        <v>1059</v>
      </c>
      <c r="G741" s="462">
        <v>15000000</v>
      </c>
      <c r="H741" s="462">
        <v>15000000</v>
      </c>
    </row>
    <row r="742" spans="1:10" ht="20.100000000000001" customHeight="1" x14ac:dyDescent="0.25">
      <c r="A742" s="463"/>
      <c r="B742" s="430" t="s">
        <v>1700</v>
      </c>
      <c r="C742" s="711" t="s">
        <v>92</v>
      </c>
      <c r="D742" s="712" t="s">
        <v>972</v>
      </c>
      <c r="E742" s="481" t="s">
        <v>539</v>
      </c>
      <c r="F742" s="711" t="s">
        <v>1059</v>
      </c>
      <c r="G742" s="462">
        <v>500000000</v>
      </c>
      <c r="H742" s="462">
        <v>500000000</v>
      </c>
    </row>
    <row r="743" spans="1:10" ht="20.100000000000001" customHeight="1" x14ac:dyDescent="0.25">
      <c r="A743" s="463"/>
      <c r="B743" s="871" t="s">
        <v>117</v>
      </c>
      <c r="C743" s="731"/>
      <c r="D743" s="705"/>
      <c r="E743" s="831"/>
      <c r="F743" s="731"/>
      <c r="G743" s="452">
        <f>SUM(G725:G742)</f>
        <v>9356550000</v>
      </c>
      <c r="H743" s="473">
        <f>SUM(H725:H742)</f>
        <v>9356550000</v>
      </c>
    </row>
    <row r="744" spans="1:10" ht="20.100000000000001" customHeight="1" x14ac:dyDescent="0.25">
      <c r="A744" s="463"/>
      <c r="B744" s="871" t="s">
        <v>1323</v>
      </c>
      <c r="C744" s="731"/>
      <c r="D744" s="705"/>
      <c r="E744" s="831"/>
      <c r="F744" s="731"/>
      <c r="G744" s="452"/>
      <c r="H744" s="473"/>
    </row>
    <row r="745" spans="1:10" ht="20.100000000000001" customHeight="1" x14ac:dyDescent="0.25">
      <c r="A745" s="463"/>
      <c r="B745" s="780" t="s">
        <v>1701</v>
      </c>
      <c r="C745" s="745" t="s">
        <v>92</v>
      </c>
      <c r="D745" s="746" t="s">
        <v>972</v>
      </c>
      <c r="E745" s="482" t="s">
        <v>539</v>
      </c>
      <c r="F745" s="747" t="s">
        <v>1048</v>
      </c>
      <c r="G745" s="451">
        <v>330000</v>
      </c>
      <c r="H745" s="451">
        <v>330000</v>
      </c>
    </row>
    <row r="746" spans="1:10" s="455" customFormat="1" ht="20.100000000000001" customHeight="1" x14ac:dyDescent="0.25">
      <c r="A746" s="763"/>
      <c r="B746" s="780" t="s">
        <v>1702</v>
      </c>
      <c r="C746" s="745" t="s">
        <v>92</v>
      </c>
      <c r="D746" s="746" t="s">
        <v>1703</v>
      </c>
      <c r="E746" s="482" t="s">
        <v>539</v>
      </c>
      <c r="F746" s="747" t="s">
        <v>1048</v>
      </c>
      <c r="G746" s="451">
        <v>10000000</v>
      </c>
      <c r="H746" s="451">
        <v>10000000</v>
      </c>
      <c r="I746" s="454"/>
      <c r="J746" s="454"/>
    </row>
    <row r="747" spans="1:10" s="455" customFormat="1" ht="20.100000000000001" customHeight="1" x14ac:dyDescent="0.25">
      <c r="A747" s="763"/>
      <c r="B747" s="436" t="s">
        <v>1704</v>
      </c>
      <c r="C747" s="745" t="s">
        <v>92</v>
      </c>
      <c r="D747" s="746" t="s">
        <v>1687</v>
      </c>
      <c r="E747" s="482" t="s">
        <v>539</v>
      </c>
      <c r="F747" s="747" t="s">
        <v>1048</v>
      </c>
      <c r="G747" s="451">
        <v>12500000</v>
      </c>
      <c r="H747" s="451">
        <v>12500000</v>
      </c>
      <c r="I747" s="454"/>
      <c r="J747" s="454"/>
    </row>
    <row r="748" spans="1:10" s="455" customFormat="1" ht="20.100000000000001" customHeight="1" x14ac:dyDescent="0.25">
      <c r="A748" s="763"/>
      <c r="B748" s="436" t="s">
        <v>1705</v>
      </c>
      <c r="C748" s="745" t="s">
        <v>92</v>
      </c>
      <c r="D748" s="746" t="s">
        <v>972</v>
      </c>
      <c r="E748" s="482" t="s">
        <v>539</v>
      </c>
      <c r="F748" s="747" t="s">
        <v>1048</v>
      </c>
      <c r="G748" s="451">
        <v>13800000</v>
      </c>
      <c r="H748" s="451">
        <f>1650000*12</f>
        <v>19800000</v>
      </c>
      <c r="I748" s="454"/>
      <c r="J748" s="454"/>
    </row>
    <row r="749" spans="1:10" s="455" customFormat="1" ht="20.100000000000001" customHeight="1" x14ac:dyDescent="0.25">
      <c r="A749" s="763"/>
      <c r="B749" s="871" t="s">
        <v>117</v>
      </c>
      <c r="C749" s="731"/>
      <c r="D749" s="705"/>
      <c r="E749" s="831"/>
      <c r="F749" s="731"/>
      <c r="G749" s="452">
        <f>SUM(G745:G748)</f>
        <v>36630000</v>
      </c>
      <c r="H749" s="452">
        <f>SUM(H745:H748)</f>
        <v>42630000</v>
      </c>
      <c r="I749" s="454"/>
      <c r="J749" s="454"/>
    </row>
    <row r="750" spans="1:10" ht="20.100000000000001" customHeight="1" x14ac:dyDescent="0.25">
      <c r="A750" s="463"/>
      <c r="B750" s="871" t="s">
        <v>1706</v>
      </c>
      <c r="C750" s="711"/>
      <c r="D750" s="712"/>
      <c r="E750" s="481"/>
      <c r="F750" s="711"/>
      <c r="G750" s="452">
        <f>G743+G749</f>
        <v>9393180000</v>
      </c>
      <c r="H750" s="452">
        <f>H743+H749</f>
        <v>9399180000</v>
      </c>
    </row>
    <row r="751" spans="1:10" ht="69" customHeight="1" x14ac:dyDescent="0.25">
      <c r="A751" s="756"/>
      <c r="B751" s="449">
        <v>76</v>
      </c>
      <c r="C751" s="722"/>
      <c r="D751" s="720"/>
      <c r="E751" s="757"/>
      <c r="F751" s="722"/>
      <c r="G751" s="786"/>
      <c r="H751" s="786"/>
    </row>
    <row r="752" spans="1:10" ht="28.5" customHeight="1" x14ac:dyDescent="0.25">
      <c r="A752" s="463"/>
      <c r="B752" s="752" t="s">
        <v>973</v>
      </c>
      <c r="C752" s="772"/>
      <c r="D752" s="712"/>
      <c r="E752" s="753"/>
      <c r="F752" s="753"/>
      <c r="G752" s="753"/>
      <c r="H752" s="463"/>
    </row>
    <row r="753" spans="1:8" ht="21" customHeight="1" x14ac:dyDescent="0.25">
      <c r="A753" s="463"/>
      <c r="B753" s="430" t="s">
        <v>1707</v>
      </c>
      <c r="C753" s="711" t="s">
        <v>92</v>
      </c>
      <c r="D753" s="712" t="s">
        <v>340</v>
      </c>
      <c r="E753" s="481">
        <v>70443</v>
      </c>
      <c r="F753" s="711" t="s">
        <v>1059</v>
      </c>
      <c r="G753" s="462">
        <v>1000000</v>
      </c>
      <c r="H753" s="462">
        <v>1000000</v>
      </c>
    </row>
    <row r="754" spans="1:8" ht="21" customHeight="1" x14ac:dyDescent="0.25">
      <c r="A754" s="463"/>
      <c r="B754" s="447" t="s">
        <v>1708</v>
      </c>
      <c r="C754" s="711" t="s">
        <v>92</v>
      </c>
      <c r="D754" s="712" t="s">
        <v>340</v>
      </c>
      <c r="E754" s="481">
        <v>70443</v>
      </c>
      <c r="F754" s="713" t="s">
        <v>1048</v>
      </c>
      <c r="G754" s="462">
        <v>10000000</v>
      </c>
      <c r="H754" s="462">
        <v>10000000</v>
      </c>
    </row>
    <row r="755" spans="1:8" ht="21" customHeight="1" x14ac:dyDescent="0.25">
      <c r="A755" s="463"/>
      <c r="B755" s="870" t="s">
        <v>117</v>
      </c>
      <c r="C755" s="705"/>
      <c r="D755" s="705"/>
      <c r="E755" s="870"/>
      <c r="F755" s="870"/>
      <c r="G755" s="473">
        <f>SUM(G753:G754)</f>
        <v>11000000</v>
      </c>
      <c r="H755" s="473">
        <f>SUM(H753:H754)</f>
        <v>11000000</v>
      </c>
    </row>
    <row r="756" spans="1:8" ht="21" customHeight="1" x14ac:dyDescent="0.25">
      <c r="A756" s="463"/>
      <c r="B756" s="780" t="s">
        <v>1709</v>
      </c>
      <c r="C756" s="745" t="s">
        <v>92</v>
      </c>
      <c r="D756" s="746" t="s">
        <v>340</v>
      </c>
      <c r="E756" s="482">
        <v>70443</v>
      </c>
      <c r="F756" s="747" t="s">
        <v>1048</v>
      </c>
      <c r="G756" s="462">
        <v>5400000</v>
      </c>
      <c r="H756" s="462">
        <v>5400000</v>
      </c>
    </row>
    <row r="757" spans="1:8" ht="21" customHeight="1" x14ac:dyDescent="0.25">
      <c r="A757" s="463"/>
      <c r="B757" s="436" t="s">
        <v>1710</v>
      </c>
      <c r="C757" s="745" t="s">
        <v>92</v>
      </c>
      <c r="D757" s="746" t="s">
        <v>340</v>
      </c>
      <c r="E757" s="482">
        <v>70443</v>
      </c>
      <c r="F757" s="747" t="s">
        <v>1048</v>
      </c>
      <c r="G757" s="462">
        <v>15000000</v>
      </c>
      <c r="H757" s="462">
        <f>1250000*12</f>
        <v>15000000</v>
      </c>
    </row>
    <row r="758" spans="1:8" ht="21" customHeight="1" x14ac:dyDescent="0.25">
      <c r="A758" s="463"/>
      <c r="B758" s="870" t="s">
        <v>117</v>
      </c>
      <c r="C758" s="705"/>
      <c r="D758" s="705"/>
      <c r="E758" s="870"/>
      <c r="F758" s="870"/>
      <c r="G758" s="473">
        <f>SUM(G756:G757)</f>
        <v>20400000</v>
      </c>
      <c r="H758" s="473">
        <f>SUM(H756:H757)</f>
        <v>20400000</v>
      </c>
    </row>
    <row r="759" spans="1:8" ht="21" customHeight="1" x14ac:dyDescent="0.25">
      <c r="A759" s="463"/>
      <c r="B759" s="870" t="s">
        <v>449</v>
      </c>
      <c r="C759" s="705"/>
      <c r="D759" s="705"/>
      <c r="E759" s="870"/>
      <c r="F759" s="870"/>
      <c r="G759" s="473">
        <f>G755+G758</f>
        <v>31400000</v>
      </c>
      <c r="H759" s="473">
        <f>H755+H758</f>
        <v>31400000</v>
      </c>
    </row>
    <row r="760" spans="1:8" ht="42.75" customHeight="1" x14ac:dyDescent="0.25">
      <c r="A760" s="463"/>
      <c r="B760" s="752" t="s">
        <v>1711</v>
      </c>
      <c r="C760" s="772"/>
      <c r="D760" s="712"/>
      <c r="E760" s="753"/>
      <c r="F760" s="753"/>
      <c r="G760" s="753"/>
      <c r="H760" s="463"/>
    </row>
    <row r="761" spans="1:8" ht="21" customHeight="1" x14ac:dyDescent="0.25">
      <c r="A761" s="463"/>
      <c r="B761" s="483" t="s">
        <v>1707</v>
      </c>
      <c r="C761" s="711" t="s">
        <v>92</v>
      </c>
      <c r="D761" s="712" t="s">
        <v>975</v>
      </c>
      <c r="E761" s="783">
        <v>70610</v>
      </c>
      <c r="F761" s="711" t="s">
        <v>1059</v>
      </c>
      <c r="G761" s="462">
        <v>1000000</v>
      </c>
      <c r="H761" s="462">
        <v>1000000</v>
      </c>
    </row>
    <row r="762" spans="1:8" ht="21" customHeight="1" x14ac:dyDescent="0.25">
      <c r="A762" s="463"/>
      <c r="B762" s="483" t="s">
        <v>1712</v>
      </c>
      <c r="C762" s="711" t="s">
        <v>92</v>
      </c>
      <c r="D762" s="712" t="s">
        <v>975</v>
      </c>
      <c r="E762" s="783">
        <v>70610</v>
      </c>
      <c r="F762" s="713" t="s">
        <v>1048</v>
      </c>
      <c r="G762" s="462">
        <v>6337136</v>
      </c>
      <c r="H762" s="462">
        <v>6337136</v>
      </c>
    </row>
    <row r="763" spans="1:8" ht="21" customHeight="1" x14ac:dyDescent="0.25">
      <c r="A763" s="463"/>
      <c r="B763" s="484" t="s">
        <v>1713</v>
      </c>
      <c r="C763" s="711" t="s">
        <v>92</v>
      </c>
      <c r="D763" s="712" t="s">
        <v>975</v>
      </c>
      <c r="E763" s="783">
        <v>70610</v>
      </c>
      <c r="F763" s="711" t="s">
        <v>1059</v>
      </c>
      <c r="G763" s="462">
        <v>700000</v>
      </c>
      <c r="H763" s="462">
        <v>700000</v>
      </c>
    </row>
    <row r="764" spans="1:8" ht="21" customHeight="1" x14ac:dyDescent="0.25">
      <c r="A764" s="463"/>
      <c r="B764" s="483" t="s">
        <v>1714</v>
      </c>
      <c r="C764" s="711" t="s">
        <v>92</v>
      </c>
      <c r="D764" s="712" t="s">
        <v>975</v>
      </c>
      <c r="E764" s="783">
        <v>70610</v>
      </c>
      <c r="F764" s="713" t="s">
        <v>1048</v>
      </c>
      <c r="G764" s="462">
        <v>13000000</v>
      </c>
      <c r="H764" s="462">
        <v>13000000</v>
      </c>
    </row>
    <row r="765" spans="1:8" ht="36" customHeight="1" x14ac:dyDescent="0.25">
      <c r="A765" s="463"/>
      <c r="B765" s="483" t="s">
        <v>1715</v>
      </c>
      <c r="C765" s="711" t="s">
        <v>92</v>
      </c>
      <c r="D765" s="712" t="s">
        <v>975</v>
      </c>
      <c r="E765" s="783">
        <v>70610</v>
      </c>
      <c r="F765" s="713" t="s">
        <v>1048</v>
      </c>
      <c r="G765" s="462">
        <v>24000000</v>
      </c>
      <c r="H765" s="462">
        <v>24000000</v>
      </c>
    </row>
    <row r="766" spans="1:8" ht="21" customHeight="1" x14ac:dyDescent="0.25">
      <c r="A766" s="463"/>
      <c r="B766" s="870" t="s">
        <v>117</v>
      </c>
      <c r="C766" s="705"/>
      <c r="D766" s="705"/>
      <c r="E766" s="870"/>
      <c r="F766" s="870"/>
      <c r="G766" s="473">
        <f>SUM(G761:G765)</f>
        <v>45037136</v>
      </c>
      <c r="H766" s="473">
        <f>SUM(H761:H765)</f>
        <v>45037136</v>
      </c>
    </row>
    <row r="767" spans="1:8" ht="21" customHeight="1" x14ac:dyDescent="0.25">
      <c r="A767" s="463"/>
      <c r="B767" s="793" t="s">
        <v>1716</v>
      </c>
      <c r="C767" s="745" t="s">
        <v>92</v>
      </c>
      <c r="D767" s="746" t="s">
        <v>975</v>
      </c>
      <c r="E767" s="785">
        <v>70610</v>
      </c>
      <c r="F767" s="747" t="s">
        <v>1048</v>
      </c>
      <c r="G767" s="462">
        <v>1275000</v>
      </c>
      <c r="H767" s="462">
        <v>1275000</v>
      </c>
    </row>
    <row r="768" spans="1:8" ht="21" customHeight="1" x14ac:dyDescent="0.25">
      <c r="A768" s="463"/>
      <c r="B768" s="793" t="s">
        <v>1717</v>
      </c>
      <c r="C768" s="745" t="s">
        <v>92</v>
      </c>
      <c r="D768" s="746" t="s">
        <v>975</v>
      </c>
      <c r="E768" s="785">
        <v>70610</v>
      </c>
      <c r="F768" s="747" t="s">
        <v>1048</v>
      </c>
      <c r="G768" s="462">
        <v>15000000</v>
      </c>
      <c r="H768" s="462">
        <f>1250000*12</f>
        <v>15000000</v>
      </c>
    </row>
    <row r="769" spans="1:10" ht="21" customHeight="1" x14ac:dyDescent="0.25">
      <c r="A769" s="463"/>
      <c r="B769" s="870" t="s">
        <v>1718</v>
      </c>
      <c r="C769" s="705"/>
      <c r="D769" s="705"/>
      <c r="E769" s="870"/>
      <c r="F769" s="870"/>
      <c r="G769" s="473">
        <f>SUM(G767:G768)</f>
        <v>16275000</v>
      </c>
      <c r="H769" s="473">
        <f>SUM(H767:H768)</f>
        <v>16275000</v>
      </c>
    </row>
    <row r="770" spans="1:10" ht="21" customHeight="1" x14ac:dyDescent="0.25">
      <c r="A770" s="463"/>
      <c r="B770" s="870" t="s">
        <v>449</v>
      </c>
      <c r="C770" s="705"/>
      <c r="D770" s="705"/>
      <c r="E770" s="870"/>
      <c r="F770" s="870"/>
      <c r="G770" s="473">
        <f>G769+G766</f>
        <v>61312136</v>
      </c>
      <c r="H770" s="473">
        <f>H769+H766</f>
        <v>61312136</v>
      </c>
    </row>
    <row r="771" spans="1:10" ht="72" customHeight="1" x14ac:dyDescent="0.25">
      <c r="A771" s="756"/>
      <c r="B771" s="467">
        <v>77</v>
      </c>
      <c r="C771" s="806"/>
      <c r="D771" s="806"/>
      <c r="E771" s="474"/>
      <c r="F771" s="474"/>
      <c r="G771" s="800"/>
      <c r="H771" s="800"/>
    </row>
    <row r="772" spans="1:10" ht="30" customHeight="1" x14ac:dyDescent="0.25">
      <c r="A772" s="463"/>
      <c r="B772" s="752" t="s">
        <v>1719</v>
      </c>
      <c r="C772" s="772"/>
      <c r="D772" s="712"/>
      <c r="E772" s="753"/>
      <c r="F772" s="753"/>
      <c r="G772" s="753"/>
      <c r="H772" s="463"/>
    </row>
    <row r="773" spans="1:10" ht="21" customHeight="1" x14ac:dyDescent="0.25">
      <c r="A773" s="463"/>
      <c r="B773" s="430" t="s">
        <v>1338</v>
      </c>
      <c r="C773" s="711" t="s">
        <v>92</v>
      </c>
      <c r="D773" s="712" t="s">
        <v>224</v>
      </c>
      <c r="E773" s="801">
        <v>70411</v>
      </c>
      <c r="F773" s="713" t="s">
        <v>1048</v>
      </c>
      <c r="G773" s="462">
        <v>2000000</v>
      </c>
      <c r="H773" s="462">
        <v>2000000</v>
      </c>
    </row>
    <row r="774" spans="1:10" ht="21" customHeight="1" x14ac:dyDescent="0.25">
      <c r="A774" s="463"/>
      <c r="B774" s="430" t="s">
        <v>1720</v>
      </c>
      <c r="C774" s="711" t="s">
        <v>92</v>
      </c>
      <c r="D774" s="712" t="s">
        <v>224</v>
      </c>
      <c r="E774" s="801">
        <v>70411</v>
      </c>
      <c r="F774" s="711" t="s">
        <v>1059</v>
      </c>
      <c r="G774" s="462">
        <v>1000000</v>
      </c>
      <c r="H774" s="462">
        <v>1000000</v>
      </c>
    </row>
    <row r="775" spans="1:10" ht="21" customHeight="1" x14ac:dyDescent="0.25">
      <c r="A775" s="463"/>
      <c r="B775" s="430" t="s">
        <v>1721</v>
      </c>
      <c r="C775" s="711" t="s">
        <v>92</v>
      </c>
      <c r="D775" s="712" t="s">
        <v>224</v>
      </c>
      <c r="E775" s="801">
        <v>70411</v>
      </c>
      <c r="F775" s="713" t="s">
        <v>1048</v>
      </c>
      <c r="G775" s="462">
        <v>750000</v>
      </c>
      <c r="H775" s="462">
        <v>750000</v>
      </c>
    </row>
    <row r="776" spans="1:10" ht="36" customHeight="1" x14ac:dyDescent="0.25">
      <c r="A776" s="463"/>
      <c r="B776" s="430" t="s">
        <v>1722</v>
      </c>
      <c r="C776" s="711" t="s">
        <v>92</v>
      </c>
      <c r="D776" s="712" t="s">
        <v>224</v>
      </c>
      <c r="E776" s="801">
        <v>70411</v>
      </c>
      <c r="F776" s="711" t="s">
        <v>1059</v>
      </c>
      <c r="G776" s="462">
        <v>5000000</v>
      </c>
      <c r="H776" s="462">
        <v>5000000</v>
      </c>
    </row>
    <row r="777" spans="1:10" ht="21" customHeight="1" x14ac:dyDescent="0.25">
      <c r="A777" s="463"/>
      <c r="B777" s="430" t="s">
        <v>1723</v>
      </c>
      <c r="C777" s="711" t="s">
        <v>92</v>
      </c>
      <c r="D777" s="712" t="s">
        <v>224</v>
      </c>
      <c r="E777" s="801">
        <v>70411</v>
      </c>
      <c r="F777" s="713" t="s">
        <v>1048</v>
      </c>
      <c r="G777" s="462">
        <v>3000000</v>
      </c>
      <c r="H777" s="462">
        <v>3000000</v>
      </c>
    </row>
    <row r="778" spans="1:10" ht="21" customHeight="1" x14ac:dyDescent="0.25">
      <c r="A778" s="463"/>
      <c r="B778" s="870" t="s">
        <v>1718</v>
      </c>
      <c r="C778" s="705"/>
      <c r="D778" s="705"/>
      <c r="E778" s="870"/>
      <c r="F778" s="870"/>
      <c r="G778" s="473">
        <f>SUM(G773:G777)</f>
        <v>11750000</v>
      </c>
      <c r="H778" s="473">
        <f>SUM(H773:H777)</f>
        <v>11750000</v>
      </c>
    </row>
    <row r="779" spans="1:10" ht="21" customHeight="1" x14ac:dyDescent="0.25">
      <c r="A779" s="463"/>
      <c r="B779" s="738" t="s">
        <v>1724</v>
      </c>
      <c r="C779" s="745" t="s">
        <v>92</v>
      </c>
      <c r="D779" s="746" t="s">
        <v>230</v>
      </c>
      <c r="E779" s="791">
        <v>70411</v>
      </c>
      <c r="F779" s="747" t="s">
        <v>1048</v>
      </c>
      <c r="G779" s="451">
        <v>12600000</v>
      </c>
      <c r="H779" s="451">
        <f>1050000*12</f>
        <v>12600000</v>
      </c>
    </row>
    <row r="780" spans="1:10" ht="21" customHeight="1" x14ac:dyDescent="0.25">
      <c r="A780" s="463"/>
      <c r="B780" s="870" t="s">
        <v>449</v>
      </c>
      <c r="C780" s="705"/>
      <c r="D780" s="705"/>
      <c r="E780" s="870"/>
      <c r="F780" s="870"/>
      <c r="G780" s="473">
        <f>SUM(G778:G779)</f>
        <v>24350000</v>
      </c>
      <c r="H780" s="473">
        <f>SUM(H778:H779)</f>
        <v>24350000</v>
      </c>
    </row>
    <row r="781" spans="1:10" ht="30" customHeight="1" x14ac:dyDescent="0.25">
      <c r="A781" s="463"/>
      <c r="B781" s="774" t="s">
        <v>977</v>
      </c>
      <c r="C781" s="772"/>
      <c r="D781" s="712"/>
      <c r="E781" s="775"/>
      <c r="F781" s="775"/>
      <c r="G781" s="775"/>
      <c r="H781" s="775"/>
    </row>
    <row r="782" spans="1:10" s="455" customFormat="1" ht="21" customHeight="1" x14ac:dyDescent="0.25">
      <c r="A782" s="763"/>
      <c r="B782" s="436" t="s">
        <v>1725</v>
      </c>
      <c r="C782" s="745" t="s">
        <v>92</v>
      </c>
      <c r="D782" s="746" t="s">
        <v>1726</v>
      </c>
      <c r="E782" s="785">
        <v>70452</v>
      </c>
      <c r="F782" s="747" t="s">
        <v>1048</v>
      </c>
      <c r="G782" s="462">
        <v>10000000</v>
      </c>
      <c r="H782" s="462">
        <v>10000000</v>
      </c>
      <c r="I782" s="454"/>
      <c r="J782" s="454"/>
    </row>
    <row r="783" spans="1:10" s="455" customFormat="1" ht="21" customHeight="1" x14ac:dyDescent="0.25">
      <c r="A783" s="763"/>
      <c r="B783" s="436" t="s">
        <v>1727</v>
      </c>
      <c r="C783" s="745" t="s">
        <v>92</v>
      </c>
      <c r="D783" s="746" t="s">
        <v>1726</v>
      </c>
      <c r="E783" s="785">
        <v>70452</v>
      </c>
      <c r="F783" s="747" t="s">
        <v>1048</v>
      </c>
      <c r="G783" s="462">
        <v>14400000</v>
      </c>
      <c r="H783" s="462">
        <f>1200000*12</f>
        <v>14400000</v>
      </c>
      <c r="I783" s="454"/>
      <c r="J783" s="454"/>
    </row>
    <row r="784" spans="1:10" s="455" customFormat="1" ht="21" customHeight="1" x14ac:dyDescent="0.25">
      <c r="A784" s="763"/>
      <c r="B784" s="739" t="s">
        <v>1728</v>
      </c>
      <c r="C784" s="749"/>
      <c r="D784" s="749"/>
      <c r="E784" s="832"/>
      <c r="F784" s="832"/>
      <c r="G784" s="833">
        <f>SUM(G782:G783)</f>
        <v>24400000</v>
      </c>
      <c r="H784" s="833">
        <f>SUM(H782:H783)</f>
        <v>24400000</v>
      </c>
      <c r="I784" s="454"/>
      <c r="J784" s="454"/>
    </row>
    <row r="785" spans="1:10" s="455" customFormat="1" ht="30" customHeight="1" x14ac:dyDescent="0.25">
      <c r="A785" s="763"/>
      <c r="B785" s="774" t="s">
        <v>1729</v>
      </c>
      <c r="C785" s="776"/>
      <c r="D785" s="776"/>
      <c r="E785" s="807"/>
      <c r="F785" s="807"/>
      <c r="G785" s="807"/>
      <c r="H785" s="807"/>
      <c r="I785" s="454"/>
      <c r="J785" s="454"/>
    </row>
    <row r="786" spans="1:10" s="455" customFormat="1" ht="21" customHeight="1" x14ac:dyDescent="0.25">
      <c r="A786" s="763"/>
      <c r="B786" s="738" t="s">
        <v>1730</v>
      </c>
      <c r="C786" s="745" t="s">
        <v>92</v>
      </c>
      <c r="D786" s="746" t="s">
        <v>230</v>
      </c>
      <c r="E786" s="791">
        <v>70411</v>
      </c>
      <c r="F786" s="747" t="s">
        <v>1048</v>
      </c>
      <c r="G786" s="451">
        <v>38000000</v>
      </c>
      <c r="H786" s="451">
        <v>38000000</v>
      </c>
      <c r="I786" s="454"/>
      <c r="J786" s="454"/>
    </row>
    <row r="787" spans="1:10" ht="21" customHeight="1" x14ac:dyDescent="0.25">
      <c r="A787" s="463"/>
      <c r="B787" s="752" t="s">
        <v>1731</v>
      </c>
      <c r="C787" s="772"/>
      <c r="D787" s="712"/>
      <c r="E787" s="753"/>
      <c r="F787" s="753"/>
      <c r="G787" s="753"/>
      <c r="H787" s="463"/>
    </row>
    <row r="788" spans="1:10" ht="21" customHeight="1" x14ac:dyDescent="0.25">
      <c r="A788" s="463"/>
      <c r="B788" s="457" t="s">
        <v>1732</v>
      </c>
      <c r="C788" s="711" t="s">
        <v>92</v>
      </c>
      <c r="D788" s="712" t="s">
        <v>378</v>
      </c>
      <c r="E788" s="783">
        <v>70620</v>
      </c>
      <c r="F788" s="713" t="s">
        <v>1048</v>
      </c>
      <c r="G788" s="462">
        <v>5400000</v>
      </c>
      <c r="H788" s="462">
        <v>5400000</v>
      </c>
    </row>
    <row r="789" spans="1:10" ht="81" customHeight="1" x14ac:dyDescent="0.25">
      <c r="A789" s="756"/>
      <c r="B789" s="467">
        <v>78</v>
      </c>
      <c r="C789" s="720"/>
      <c r="D789" s="720"/>
      <c r="E789" s="756"/>
      <c r="F789" s="756"/>
      <c r="G789" s="756"/>
      <c r="H789" s="756"/>
    </row>
    <row r="790" spans="1:10" ht="36.75" customHeight="1" x14ac:dyDescent="0.25">
      <c r="A790" s="463"/>
      <c r="B790" s="752" t="s">
        <v>1733</v>
      </c>
      <c r="C790" s="772"/>
      <c r="D790" s="712"/>
      <c r="E790" s="753"/>
      <c r="F790" s="753"/>
      <c r="G790" s="753"/>
      <c r="H790" s="463"/>
    </row>
    <row r="791" spans="1:10" ht="21" customHeight="1" x14ac:dyDescent="0.25">
      <c r="A791" s="463"/>
      <c r="B791" s="430" t="s">
        <v>1734</v>
      </c>
      <c r="C791" s="711" t="s">
        <v>92</v>
      </c>
      <c r="D791" s="712" t="s">
        <v>1735</v>
      </c>
      <c r="E791" s="783">
        <v>70620</v>
      </c>
      <c r="F791" s="713" t="s">
        <v>1048</v>
      </c>
      <c r="G791" s="462">
        <v>4000000</v>
      </c>
      <c r="H791" s="462">
        <v>4000000</v>
      </c>
    </row>
    <row r="792" spans="1:10" ht="21" customHeight="1" x14ac:dyDescent="0.25">
      <c r="A792" s="463"/>
      <c r="B792" s="430" t="s">
        <v>1129</v>
      </c>
      <c r="C792" s="711" t="s">
        <v>92</v>
      </c>
      <c r="D792" s="712" t="s">
        <v>1735</v>
      </c>
      <c r="E792" s="783">
        <v>70620</v>
      </c>
      <c r="F792" s="713" t="s">
        <v>1048</v>
      </c>
      <c r="G792" s="462">
        <v>300000</v>
      </c>
      <c r="H792" s="462">
        <v>300000</v>
      </c>
    </row>
    <row r="793" spans="1:10" ht="21" customHeight="1" x14ac:dyDescent="0.25">
      <c r="A793" s="463"/>
      <c r="B793" s="430" t="s">
        <v>1133</v>
      </c>
      <c r="C793" s="711" t="s">
        <v>92</v>
      </c>
      <c r="D793" s="712" t="s">
        <v>1735</v>
      </c>
      <c r="E793" s="783">
        <v>70620</v>
      </c>
      <c r="F793" s="713" t="s">
        <v>1048</v>
      </c>
      <c r="G793" s="462">
        <v>156000</v>
      </c>
      <c r="H793" s="462">
        <v>156000</v>
      </c>
    </row>
    <row r="794" spans="1:10" ht="21" customHeight="1" x14ac:dyDescent="0.25">
      <c r="A794" s="463"/>
      <c r="B794" s="430" t="s">
        <v>1135</v>
      </c>
      <c r="C794" s="711" t="s">
        <v>92</v>
      </c>
      <c r="D794" s="712" t="s">
        <v>1735</v>
      </c>
      <c r="E794" s="783">
        <v>70620</v>
      </c>
      <c r="F794" s="713" t="s">
        <v>1048</v>
      </c>
      <c r="G794" s="462">
        <v>372000</v>
      </c>
      <c r="H794" s="462">
        <v>372000</v>
      </c>
    </row>
    <row r="795" spans="1:10" ht="21" customHeight="1" x14ac:dyDescent="0.25">
      <c r="A795" s="463"/>
      <c r="B795" s="430" t="s">
        <v>1137</v>
      </c>
      <c r="C795" s="711" t="s">
        <v>92</v>
      </c>
      <c r="D795" s="712" t="s">
        <v>1735</v>
      </c>
      <c r="E795" s="783">
        <v>70620</v>
      </c>
      <c r="F795" s="713" t="s">
        <v>1048</v>
      </c>
      <c r="G795" s="462">
        <v>264000</v>
      </c>
      <c r="H795" s="462">
        <v>264000</v>
      </c>
    </row>
    <row r="796" spans="1:10" ht="21" customHeight="1" x14ac:dyDescent="0.25">
      <c r="A796" s="463"/>
      <c r="B796" s="430" t="s">
        <v>1086</v>
      </c>
      <c r="C796" s="711" t="s">
        <v>92</v>
      </c>
      <c r="D796" s="712" t="s">
        <v>1735</v>
      </c>
      <c r="E796" s="783">
        <v>70620</v>
      </c>
      <c r="F796" s="713" t="s">
        <v>1048</v>
      </c>
      <c r="G796" s="462">
        <v>1788000</v>
      </c>
      <c r="H796" s="462">
        <v>1788000</v>
      </c>
    </row>
    <row r="797" spans="1:10" ht="21" customHeight="1" x14ac:dyDescent="0.25">
      <c r="A797" s="463"/>
      <c r="B797" s="430" t="s">
        <v>1144</v>
      </c>
      <c r="C797" s="711" t="s">
        <v>92</v>
      </c>
      <c r="D797" s="712" t="s">
        <v>1735</v>
      </c>
      <c r="E797" s="783">
        <v>70620</v>
      </c>
      <c r="F797" s="713" t="s">
        <v>1048</v>
      </c>
      <c r="G797" s="462">
        <v>700000</v>
      </c>
      <c r="H797" s="462">
        <v>700000</v>
      </c>
    </row>
    <row r="798" spans="1:10" ht="21" customHeight="1" x14ac:dyDescent="0.25">
      <c r="A798" s="463"/>
      <c r="B798" s="430" t="s">
        <v>1150</v>
      </c>
      <c r="C798" s="711" t="s">
        <v>92</v>
      </c>
      <c r="D798" s="712" t="s">
        <v>1735</v>
      </c>
      <c r="E798" s="783">
        <v>70620</v>
      </c>
      <c r="F798" s="713" t="s">
        <v>1048</v>
      </c>
      <c r="G798" s="462">
        <v>750000</v>
      </c>
      <c r="H798" s="462">
        <v>750000</v>
      </c>
    </row>
    <row r="799" spans="1:10" ht="21" customHeight="1" x14ac:dyDescent="0.25">
      <c r="A799" s="463"/>
      <c r="B799" s="430" t="s">
        <v>1525</v>
      </c>
      <c r="C799" s="711" t="s">
        <v>92</v>
      </c>
      <c r="D799" s="712" t="s">
        <v>1735</v>
      </c>
      <c r="E799" s="783">
        <v>70620</v>
      </c>
      <c r="F799" s="713" t="s">
        <v>1048</v>
      </c>
      <c r="G799" s="462">
        <v>360000</v>
      </c>
      <c r="H799" s="462">
        <v>360000</v>
      </c>
    </row>
    <row r="800" spans="1:10" ht="21" customHeight="1" x14ac:dyDescent="0.25">
      <c r="A800" s="463"/>
      <c r="B800" s="430" t="s">
        <v>1159</v>
      </c>
      <c r="C800" s="711" t="s">
        <v>92</v>
      </c>
      <c r="D800" s="712" t="s">
        <v>1735</v>
      </c>
      <c r="E800" s="783">
        <v>70620</v>
      </c>
      <c r="F800" s="713" t="s">
        <v>1048</v>
      </c>
      <c r="G800" s="462">
        <v>2500000</v>
      </c>
      <c r="H800" s="462">
        <v>2500000</v>
      </c>
    </row>
    <row r="801" spans="1:9" ht="21" customHeight="1" x14ac:dyDescent="0.25">
      <c r="A801" s="463"/>
      <c r="B801" s="430" t="s">
        <v>1160</v>
      </c>
      <c r="C801" s="711" t="s">
        <v>92</v>
      </c>
      <c r="D801" s="712" t="s">
        <v>1735</v>
      </c>
      <c r="E801" s="783">
        <v>70620</v>
      </c>
      <c r="F801" s="713" t="s">
        <v>1048</v>
      </c>
      <c r="G801" s="462">
        <v>150000</v>
      </c>
      <c r="H801" s="462">
        <v>150000</v>
      </c>
    </row>
    <row r="802" spans="1:9" ht="21" customHeight="1" x14ac:dyDescent="0.25">
      <c r="A802" s="463"/>
      <c r="B802" s="430" t="s">
        <v>1224</v>
      </c>
      <c r="C802" s="711" t="s">
        <v>92</v>
      </c>
      <c r="D802" s="712" t="s">
        <v>1735</v>
      </c>
      <c r="E802" s="783">
        <v>70620</v>
      </c>
      <c r="F802" s="713" t="s">
        <v>1048</v>
      </c>
      <c r="G802" s="462">
        <v>60000</v>
      </c>
      <c r="H802" s="462">
        <v>60000</v>
      </c>
    </row>
    <row r="803" spans="1:9" ht="21" customHeight="1" x14ac:dyDescent="0.25">
      <c r="A803" s="463"/>
      <c r="B803" s="430" t="s">
        <v>1154</v>
      </c>
      <c r="C803" s="711" t="s">
        <v>92</v>
      </c>
      <c r="D803" s="712" t="s">
        <v>1735</v>
      </c>
      <c r="E803" s="783">
        <v>70620</v>
      </c>
      <c r="F803" s="713" t="s">
        <v>1048</v>
      </c>
      <c r="G803" s="462">
        <v>600000</v>
      </c>
      <c r="H803" s="462">
        <v>600000</v>
      </c>
    </row>
    <row r="804" spans="1:9" ht="21" customHeight="1" x14ac:dyDescent="0.25">
      <c r="A804" s="463"/>
      <c r="B804" s="430" t="s">
        <v>1437</v>
      </c>
      <c r="C804" s="711" t="s">
        <v>92</v>
      </c>
      <c r="D804" s="712" t="s">
        <v>1735</v>
      </c>
      <c r="E804" s="783">
        <v>70620</v>
      </c>
      <c r="F804" s="713" t="s">
        <v>1048</v>
      </c>
      <c r="G804" s="462">
        <v>600000</v>
      </c>
      <c r="H804" s="462">
        <v>600000</v>
      </c>
    </row>
    <row r="805" spans="1:9" ht="21" customHeight="1" x14ac:dyDescent="0.25">
      <c r="A805" s="463"/>
      <c r="B805" s="430" t="s">
        <v>1736</v>
      </c>
      <c r="C805" s="711" t="s">
        <v>92</v>
      </c>
      <c r="D805" s="712" t="s">
        <v>1735</v>
      </c>
      <c r="E805" s="783">
        <v>70620</v>
      </c>
      <c r="F805" s="713" t="s">
        <v>1048</v>
      </c>
      <c r="G805" s="462">
        <v>2400000</v>
      </c>
      <c r="H805" s="462">
        <v>2400000</v>
      </c>
    </row>
    <row r="806" spans="1:9" ht="21" customHeight="1" x14ac:dyDescent="0.25">
      <c r="A806" s="463"/>
      <c r="B806" s="430" t="s">
        <v>1737</v>
      </c>
      <c r="C806" s="711" t="s">
        <v>92</v>
      </c>
      <c r="D806" s="712" t="s">
        <v>1735</v>
      </c>
      <c r="E806" s="783">
        <v>70620</v>
      </c>
      <c r="F806" s="713" t="s">
        <v>1048</v>
      </c>
      <c r="G806" s="462">
        <v>5000000</v>
      </c>
      <c r="H806" s="462">
        <v>5000000</v>
      </c>
    </row>
    <row r="807" spans="1:9" ht="21" customHeight="1" x14ac:dyDescent="0.25">
      <c r="A807" s="463"/>
      <c r="B807" s="870" t="s">
        <v>449</v>
      </c>
      <c r="C807" s="705"/>
      <c r="D807" s="705"/>
      <c r="E807" s="870"/>
      <c r="F807" s="870"/>
      <c r="G807" s="473">
        <f>SUM(G791:G806)</f>
        <v>20000000</v>
      </c>
      <c r="H807" s="473">
        <f>SUM(H791:H806)</f>
        <v>20000000</v>
      </c>
    </row>
    <row r="808" spans="1:9" ht="30.75" customHeight="1" x14ac:dyDescent="0.4">
      <c r="A808" s="870" t="s">
        <v>1738</v>
      </c>
      <c r="B808" s="870"/>
      <c r="C808" s="705"/>
      <c r="D808" s="705"/>
      <c r="E808" s="870"/>
      <c r="F808" s="870"/>
      <c r="G808" s="473"/>
      <c r="H808" s="473">
        <f>SUM(H526,H530,H534,H544,H549,H561,H575,H577,H579,H581,H583,H587,H597,H601,H611,H616,H623,H629,H636,H644,H654,H675,H677,H679,H722,H750,H759,H770,H780,H784,H786,H788,H807)</f>
        <v>25532398047</v>
      </c>
      <c r="I808" s="468"/>
    </row>
    <row r="809" spans="1:9" ht="81.75" customHeight="1" x14ac:dyDescent="0.4">
      <c r="A809" s="756"/>
      <c r="B809" s="467">
        <v>79</v>
      </c>
      <c r="C809" s="834"/>
      <c r="D809" s="834"/>
      <c r="E809" s="835"/>
      <c r="F809" s="835"/>
      <c r="G809" s="836"/>
      <c r="H809" s="836"/>
      <c r="I809" s="468"/>
    </row>
    <row r="810" spans="1:9" ht="30" customHeight="1" x14ac:dyDescent="0.25">
      <c r="A810" s="463"/>
      <c r="B810" s="706" t="s">
        <v>981</v>
      </c>
      <c r="C810" s="812"/>
      <c r="D810" s="712"/>
      <c r="E810" s="706"/>
      <c r="F810" s="706"/>
      <c r="G810" s="706"/>
      <c r="H810" s="463"/>
    </row>
    <row r="811" spans="1:9" ht="21" customHeight="1" x14ac:dyDescent="0.25">
      <c r="A811" s="463"/>
      <c r="B811" s="752" t="s">
        <v>982</v>
      </c>
      <c r="C811" s="772"/>
      <c r="D811" s="712"/>
      <c r="E811" s="753"/>
      <c r="F811" s="753"/>
      <c r="G811" s="753"/>
      <c r="H811" s="463"/>
    </row>
    <row r="812" spans="1:9" ht="21" customHeight="1" x14ac:dyDescent="0.25">
      <c r="A812" s="463"/>
      <c r="B812" s="447" t="s">
        <v>1739</v>
      </c>
      <c r="C812" s="711" t="s">
        <v>92</v>
      </c>
      <c r="D812" s="712" t="s">
        <v>456</v>
      </c>
      <c r="E812" s="801">
        <v>70330</v>
      </c>
      <c r="F812" s="713" t="s">
        <v>1048</v>
      </c>
      <c r="G812" s="837">
        <v>900000000</v>
      </c>
      <c r="H812" s="837">
        <v>900000000</v>
      </c>
    </row>
    <row r="813" spans="1:9" ht="21" customHeight="1" x14ac:dyDescent="0.25">
      <c r="A813" s="463"/>
      <c r="B813" s="430" t="s">
        <v>1740</v>
      </c>
      <c r="C813" s="711" t="s">
        <v>92</v>
      </c>
      <c r="D813" s="712" t="s">
        <v>456</v>
      </c>
      <c r="E813" s="801">
        <v>70330</v>
      </c>
      <c r="F813" s="713" t="s">
        <v>1048</v>
      </c>
      <c r="G813" s="837">
        <v>4400000</v>
      </c>
      <c r="H813" s="837">
        <v>4400000</v>
      </c>
    </row>
    <row r="814" spans="1:9" ht="21" customHeight="1" x14ac:dyDescent="0.25">
      <c r="A814" s="463"/>
      <c r="B814" s="447" t="s">
        <v>1741</v>
      </c>
      <c r="C814" s="711" t="s">
        <v>92</v>
      </c>
      <c r="D814" s="712" t="s">
        <v>456</v>
      </c>
      <c r="E814" s="801">
        <v>70330</v>
      </c>
      <c r="F814" s="713" t="s">
        <v>1048</v>
      </c>
      <c r="G814" s="837">
        <v>6000000</v>
      </c>
      <c r="H814" s="837">
        <v>6000000</v>
      </c>
    </row>
    <row r="815" spans="1:9" ht="21" customHeight="1" x14ac:dyDescent="0.25">
      <c r="A815" s="463"/>
      <c r="B815" s="430" t="s">
        <v>1742</v>
      </c>
      <c r="C815" s="711" t="s">
        <v>92</v>
      </c>
      <c r="D815" s="712" t="s">
        <v>456</v>
      </c>
      <c r="E815" s="801">
        <v>70330</v>
      </c>
      <c r="F815" s="713" t="s">
        <v>1048</v>
      </c>
      <c r="G815" s="837">
        <v>40000000</v>
      </c>
      <c r="H815" s="837">
        <v>40000000</v>
      </c>
    </row>
    <row r="816" spans="1:9" ht="21" customHeight="1" x14ac:dyDescent="0.25">
      <c r="A816" s="463"/>
      <c r="B816" s="447" t="s">
        <v>1743</v>
      </c>
      <c r="C816" s="711" t="s">
        <v>92</v>
      </c>
      <c r="D816" s="712" t="s">
        <v>456</v>
      </c>
      <c r="E816" s="801">
        <v>70330</v>
      </c>
      <c r="F816" s="713" t="s">
        <v>1048</v>
      </c>
      <c r="G816" s="837">
        <v>12050000</v>
      </c>
      <c r="H816" s="837">
        <v>12050000</v>
      </c>
    </row>
    <row r="817" spans="1:8" ht="21" customHeight="1" x14ac:dyDescent="0.25">
      <c r="A817" s="463"/>
      <c r="B817" s="447" t="s">
        <v>1744</v>
      </c>
      <c r="C817" s="711" t="s">
        <v>92</v>
      </c>
      <c r="D817" s="712" t="s">
        <v>456</v>
      </c>
      <c r="E817" s="801">
        <v>70330</v>
      </c>
      <c r="F817" s="713" t="s">
        <v>1048</v>
      </c>
      <c r="G817" s="837">
        <v>24000000</v>
      </c>
      <c r="H817" s="837">
        <v>24000000</v>
      </c>
    </row>
    <row r="818" spans="1:8" ht="21" customHeight="1" x14ac:dyDescent="0.25">
      <c r="A818" s="463"/>
      <c r="B818" s="447" t="s">
        <v>1745</v>
      </c>
      <c r="C818" s="711" t="s">
        <v>92</v>
      </c>
      <c r="D818" s="712" t="s">
        <v>456</v>
      </c>
      <c r="E818" s="801">
        <v>70330</v>
      </c>
      <c r="F818" s="713" t="s">
        <v>1048</v>
      </c>
      <c r="G818" s="837">
        <v>3890000</v>
      </c>
      <c r="H818" s="837">
        <v>3890000</v>
      </c>
    </row>
    <row r="819" spans="1:8" ht="21" customHeight="1" x14ac:dyDescent="0.25">
      <c r="A819" s="463"/>
      <c r="B819" s="447" t="s">
        <v>1746</v>
      </c>
      <c r="C819" s="711" t="s">
        <v>92</v>
      </c>
      <c r="D819" s="712" t="s">
        <v>456</v>
      </c>
      <c r="E819" s="801">
        <v>70330</v>
      </c>
      <c r="F819" s="713" t="s">
        <v>1048</v>
      </c>
      <c r="G819" s="837">
        <v>50000000</v>
      </c>
      <c r="H819" s="837">
        <v>50000000</v>
      </c>
    </row>
    <row r="820" spans="1:8" ht="21" customHeight="1" x14ac:dyDescent="0.25">
      <c r="A820" s="463"/>
      <c r="B820" s="430" t="s">
        <v>1747</v>
      </c>
      <c r="C820" s="711" t="s">
        <v>92</v>
      </c>
      <c r="D820" s="712" t="s">
        <v>456</v>
      </c>
      <c r="E820" s="801">
        <v>70330</v>
      </c>
      <c r="F820" s="713" t="s">
        <v>1048</v>
      </c>
      <c r="G820" s="837">
        <v>5000000</v>
      </c>
      <c r="H820" s="837">
        <v>5000000</v>
      </c>
    </row>
    <row r="821" spans="1:8" ht="21" customHeight="1" x14ac:dyDescent="0.25">
      <c r="A821" s="463"/>
      <c r="B821" s="447" t="s">
        <v>1748</v>
      </c>
      <c r="C821" s="711" t="s">
        <v>92</v>
      </c>
      <c r="D821" s="712" t="s">
        <v>456</v>
      </c>
      <c r="E821" s="801">
        <v>70330</v>
      </c>
      <c r="F821" s="713" t="s">
        <v>1048</v>
      </c>
      <c r="G821" s="837">
        <v>400000000</v>
      </c>
      <c r="H821" s="837">
        <v>400000000</v>
      </c>
    </row>
    <row r="822" spans="1:8" ht="21" customHeight="1" x14ac:dyDescent="0.25">
      <c r="A822" s="463"/>
      <c r="B822" s="430" t="s">
        <v>1749</v>
      </c>
      <c r="C822" s="711" t="s">
        <v>92</v>
      </c>
      <c r="D822" s="712" t="s">
        <v>456</v>
      </c>
      <c r="E822" s="801">
        <v>70330</v>
      </c>
      <c r="F822" s="713" t="s">
        <v>1048</v>
      </c>
      <c r="G822" s="837">
        <v>20000000</v>
      </c>
      <c r="H822" s="837">
        <v>20000000</v>
      </c>
    </row>
    <row r="823" spans="1:8" ht="21" customHeight="1" x14ac:dyDescent="0.25">
      <c r="A823" s="463"/>
      <c r="B823" s="430" t="s">
        <v>1282</v>
      </c>
      <c r="C823" s="711" t="s">
        <v>92</v>
      </c>
      <c r="D823" s="712" t="s">
        <v>456</v>
      </c>
      <c r="E823" s="801">
        <v>70330</v>
      </c>
      <c r="F823" s="713" t="s">
        <v>1048</v>
      </c>
      <c r="G823" s="837">
        <v>4655600</v>
      </c>
      <c r="H823" s="837">
        <v>4655600</v>
      </c>
    </row>
    <row r="824" spans="1:8" ht="21" customHeight="1" x14ac:dyDescent="0.25">
      <c r="A824" s="463"/>
      <c r="B824" s="430" t="s">
        <v>1131</v>
      </c>
      <c r="C824" s="711" t="s">
        <v>92</v>
      </c>
      <c r="D824" s="712" t="s">
        <v>456</v>
      </c>
      <c r="E824" s="801">
        <v>70330</v>
      </c>
      <c r="F824" s="713" t="s">
        <v>1048</v>
      </c>
      <c r="G824" s="837">
        <v>191760</v>
      </c>
      <c r="H824" s="837">
        <v>191760</v>
      </c>
    </row>
    <row r="825" spans="1:8" ht="21" customHeight="1" x14ac:dyDescent="0.25">
      <c r="A825" s="463"/>
      <c r="B825" s="430" t="s">
        <v>1133</v>
      </c>
      <c r="C825" s="711" t="s">
        <v>92</v>
      </c>
      <c r="D825" s="712" t="s">
        <v>456</v>
      </c>
      <c r="E825" s="801">
        <v>70330</v>
      </c>
      <c r="F825" s="713" t="s">
        <v>1048</v>
      </c>
      <c r="G825" s="837">
        <v>254250</v>
      </c>
      <c r="H825" s="837">
        <v>254250</v>
      </c>
    </row>
    <row r="826" spans="1:8" ht="21" customHeight="1" x14ac:dyDescent="0.25">
      <c r="A826" s="463"/>
      <c r="B826" s="430" t="s">
        <v>1135</v>
      </c>
      <c r="C826" s="711" t="s">
        <v>92</v>
      </c>
      <c r="D826" s="712" t="s">
        <v>456</v>
      </c>
      <c r="E826" s="801">
        <v>70330</v>
      </c>
      <c r="F826" s="713" t="s">
        <v>1048</v>
      </c>
      <c r="G826" s="837">
        <v>400000</v>
      </c>
      <c r="H826" s="837">
        <v>400000</v>
      </c>
    </row>
    <row r="827" spans="1:8" ht="21" customHeight="1" x14ac:dyDescent="0.25">
      <c r="A827" s="463"/>
      <c r="B827" s="430" t="s">
        <v>1144</v>
      </c>
      <c r="C827" s="711" t="s">
        <v>92</v>
      </c>
      <c r="D827" s="712" t="s">
        <v>456</v>
      </c>
      <c r="E827" s="801">
        <v>70330</v>
      </c>
      <c r="F827" s="713" t="s">
        <v>1048</v>
      </c>
      <c r="G827" s="837">
        <v>2723070</v>
      </c>
      <c r="H827" s="837">
        <v>2723070</v>
      </c>
    </row>
    <row r="828" spans="1:8" ht="21" customHeight="1" x14ac:dyDescent="0.25">
      <c r="A828" s="463"/>
      <c r="B828" s="430" t="s">
        <v>1086</v>
      </c>
      <c r="C828" s="711" t="s">
        <v>92</v>
      </c>
      <c r="D828" s="712" t="s">
        <v>456</v>
      </c>
      <c r="E828" s="801">
        <v>70330</v>
      </c>
      <c r="F828" s="713" t="s">
        <v>1048</v>
      </c>
      <c r="G828" s="837">
        <v>135600</v>
      </c>
      <c r="H828" s="837">
        <v>135600</v>
      </c>
    </row>
    <row r="829" spans="1:8" ht="21" customHeight="1" x14ac:dyDescent="0.25">
      <c r="A829" s="463"/>
      <c r="B829" s="430" t="s">
        <v>1149</v>
      </c>
      <c r="C829" s="711" t="s">
        <v>92</v>
      </c>
      <c r="D829" s="712" t="s">
        <v>456</v>
      </c>
      <c r="E829" s="801">
        <v>70330</v>
      </c>
      <c r="F829" s="713" t="s">
        <v>1048</v>
      </c>
      <c r="G829" s="837">
        <v>90400</v>
      </c>
      <c r="H829" s="837">
        <v>90400</v>
      </c>
    </row>
    <row r="830" spans="1:8" ht="21" customHeight="1" x14ac:dyDescent="0.25">
      <c r="A830" s="463"/>
      <c r="B830" s="430" t="s">
        <v>1525</v>
      </c>
      <c r="C830" s="711" t="s">
        <v>92</v>
      </c>
      <c r="D830" s="712" t="s">
        <v>456</v>
      </c>
      <c r="E830" s="801">
        <v>70330</v>
      </c>
      <c r="F830" s="713" t="s">
        <v>1048</v>
      </c>
      <c r="G830" s="837">
        <v>10091320</v>
      </c>
      <c r="H830" s="837">
        <v>10091320</v>
      </c>
    </row>
    <row r="831" spans="1:8" ht="21" customHeight="1" x14ac:dyDescent="0.25">
      <c r="A831" s="463"/>
      <c r="B831" s="430" t="s">
        <v>1750</v>
      </c>
      <c r="C831" s="711" t="s">
        <v>92</v>
      </c>
      <c r="D831" s="712" t="s">
        <v>456</v>
      </c>
      <c r="E831" s="801">
        <v>70330</v>
      </c>
      <c r="F831" s="713" t="s">
        <v>1048</v>
      </c>
      <c r="G831" s="837">
        <v>8458000</v>
      </c>
      <c r="H831" s="837">
        <v>8458000</v>
      </c>
    </row>
    <row r="832" spans="1:8" ht="21" customHeight="1" x14ac:dyDescent="0.25">
      <c r="A832" s="463"/>
      <c r="B832" s="430"/>
      <c r="C832" s="711"/>
      <c r="D832" s="712"/>
      <c r="E832" s="801"/>
      <c r="F832" s="713"/>
      <c r="G832" s="838">
        <f>SUM(G812:G831)</f>
        <v>1492340000</v>
      </c>
      <c r="H832" s="473">
        <f>SUM(H812:H831)</f>
        <v>1492340000</v>
      </c>
    </row>
    <row r="833" spans="1:10" ht="21" customHeight="1" x14ac:dyDescent="0.25">
      <c r="A833" s="463"/>
      <c r="B833" s="430" t="s">
        <v>1073</v>
      </c>
      <c r="C833" s="711"/>
      <c r="D833" s="712"/>
      <c r="E833" s="801"/>
      <c r="F833" s="713"/>
      <c r="G833" s="473">
        <v>7200000</v>
      </c>
      <c r="H833" s="473">
        <v>7200000</v>
      </c>
    </row>
    <row r="834" spans="1:10" ht="21" customHeight="1" x14ac:dyDescent="0.25">
      <c r="A834" s="463"/>
      <c r="B834" s="875" t="s">
        <v>1751</v>
      </c>
      <c r="C834" s="708"/>
      <c r="D834" s="705"/>
      <c r="E834" s="875"/>
      <c r="F834" s="875"/>
      <c r="G834" s="473">
        <f>SUM(G832:G833)</f>
        <v>1499540000</v>
      </c>
      <c r="H834" s="473">
        <f>SUM(H832:H833)</f>
        <v>1499540000</v>
      </c>
    </row>
    <row r="835" spans="1:10" ht="68.25" customHeight="1" x14ac:dyDescent="0.25">
      <c r="A835" s="756"/>
      <c r="B835" s="485">
        <v>80</v>
      </c>
      <c r="C835" s="839"/>
      <c r="D835" s="806"/>
      <c r="E835" s="840"/>
      <c r="F835" s="840"/>
      <c r="G835" s="841"/>
      <c r="H835" s="800"/>
    </row>
    <row r="836" spans="1:10" ht="31.5" customHeight="1" x14ac:dyDescent="0.25">
      <c r="A836" s="463"/>
      <c r="B836" s="752" t="s">
        <v>983</v>
      </c>
      <c r="C836" s="772"/>
      <c r="D836" s="712"/>
      <c r="E836" s="753"/>
      <c r="F836" s="753"/>
      <c r="G836" s="753"/>
      <c r="H836" s="463"/>
    </row>
    <row r="837" spans="1:10" ht="21" customHeight="1" x14ac:dyDescent="0.25">
      <c r="A837" s="463"/>
      <c r="B837" s="430" t="s">
        <v>1752</v>
      </c>
      <c r="C837" s="711" t="s">
        <v>92</v>
      </c>
      <c r="D837" s="712" t="s">
        <v>344</v>
      </c>
      <c r="E837" s="801">
        <v>70330</v>
      </c>
      <c r="F837" s="713" t="s">
        <v>1048</v>
      </c>
      <c r="G837" s="837">
        <v>20000000</v>
      </c>
      <c r="H837" s="837">
        <v>20000000</v>
      </c>
    </row>
    <row r="838" spans="1:10" ht="21" customHeight="1" x14ac:dyDescent="0.25">
      <c r="A838" s="463"/>
      <c r="B838" s="447" t="s">
        <v>1753</v>
      </c>
      <c r="C838" s="711" t="s">
        <v>92</v>
      </c>
      <c r="D838" s="712" t="s">
        <v>344</v>
      </c>
      <c r="E838" s="801">
        <v>70330</v>
      </c>
      <c r="F838" s="713" t="s">
        <v>1048</v>
      </c>
      <c r="G838" s="837">
        <v>5925000</v>
      </c>
      <c r="H838" s="837">
        <v>5925000</v>
      </c>
    </row>
    <row r="839" spans="1:10" ht="21" customHeight="1" x14ac:dyDescent="0.25">
      <c r="A839" s="463"/>
      <c r="B839" s="447" t="s">
        <v>1754</v>
      </c>
      <c r="C839" s="711" t="s">
        <v>92</v>
      </c>
      <c r="D839" s="712" t="s">
        <v>344</v>
      </c>
      <c r="E839" s="801">
        <v>70330</v>
      </c>
      <c r="F839" s="713" t="s">
        <v>1048</v>
      </c>
      <c r="G839" s="837">
        <v>10000000</v>
      </c>
      <c r="H839" s="837">
        <v>10000000</v>
      </c>
    </row>
    <row r="840" spans="1:10" ht="21" customHeight="1" x14ac:dyDescent="0.25">
      <c r="A840" s="463"/>
      <c r="B840" s="447" t="s">
        <v>1755</v>
      </c>
      <c r="C840" s="711" t="s">
        <v>92</v>
      </c>
      <c r="D840" s="712" t="s">
        <v>344</v>
      </c>
      <c r="E840" s="801">
        <v>70330</v>
      </c>
      <c r="F840" s="713" t="s">
        <v>1048</v>
      </c>
      <c r="G840" s="837">
        <v>20000000</v>
      </c>
      <c r="H840" s="837">
        <v>20000000</v>
      </c>
    </row>
    <row r="841" spans="1:10" ht="21" customHeight="1" x14ac:dyDescent="0.25">
      <c r="A841" s="463"/>
      <c r="B841" s="430" t="s">
        <v>1756</v>
      </c>
      <c r="C841" s="711" t="s">
        <v>92</v>
      </c>
      <c r="D841" s="712" t="s">
        <v>344</v>
      </c>
      <c r="E841" s="801">
        <v>70330</v>
      </c>
      <c r="F841" s="713" t="s">
        <v>1048</v>
      </c>
      <c r="G841" s="837">
        <v>12000000</v>
      </c>
      <c r="H841" s="837">
        <v>12000000</v>
      </c>
    </row>
    <row r="842" spans="1:10" ht="21" customHeight="1" x14ac:dyDescent="0.25">
      <c r="A842" s="463"/>
      <c r="B842" s="430" t="s">
        <v>1757</v>
      </c>
      <c r="C842" s="711" t="s">
        <v>92</v>
      </c>
      <c r="D842" s="712" t="s">
        <v>344</v>
      </c>
      <c r="E842" s="801">
        <v>70330</v>
      </c>
      <c r="F842" s="713" t="s">
        <v>1048</v>
      </c>
      <c r="G842" s="837">
        <v>200000000</v>
      </c>
      <c r="H842" s="837">
        <v>200000000</v>
      </c>
    </row>
    <row r="843" spans="1:10" ht="21" customHeight="1" x14ac:dyDescent="0.25">
      <c r="A843" s="463"/>
      <c r="B843" s="447" t="s">
        <v>1758</v>
      </c>
      <c r="C843" s="711" t="s">
        <v>92</v>
      </c>
      <c r="D843" s="712" t="s">
        <v>344</v>
      </c>
      <c r="E843" s="801">
        <v>70330</v>
      </c>
      <c r="F843" s="713" t="s">
        <v>1048</v>
      </c>
      <c r="G843" s="837">
        <v>50000000</v>
      </c>
      <c r="H843" s="837">
        <v>50000000</v>
      </c>
    </row>
    <row r="844" spans="1:10" ht="21" customHeight="1" x14ac:dyDescent="0.25">
      <c r="A844" s="463"/>
      <c r="B844" s="430" t="s">
        <v>1759</v>
      </c>
      <c r="C844" s="711" t="s">
        <v>92</v>
      </c>
      <c r="D844" s="712" t="s">
        <v>344</v>
      </c>
      <c r="E844" s="801">
        <v>70330</v>
      </c>
      <c r="F844" s="711" t="s">
        <v>1760</v>
      </c>
      <c r="G844" s="837">
        <v>3000000</v>
      </c>
      <c r="H844" s="837">
        <v>3000000</v>
      </c>
    </row>
    <row r="845" spans="1:10" ht="21" customHeight="1" x14ac:dyDescent="0.25">
      <c r="A845" s="463"/>
      <c r="B845" s="430" t="s">
        <v>1761</v>
      </c>
      <c r="C845" s="711" t="s">
        <v>92</v>
      </c>
      <c r="D845" s="712" t="s">
        <v>344</v>
      </c>
      <c r="E845" s="801">
        <v>70330</v>
      </c>
      <c r="F845" s="713" t="s">
        <v>1048</v>
      </c>
      <c r="G845" s="837">
        <v>30000000</v>
      </c>
      <c r="H845" s="837">
        <v>30000000</v>
      </c>
    </row>
    <row r="846" spans="1:10" ht="21" customHeight="1" x14ac:dyDescent="0.25">
      <c r="A846" s="463"/>
      <c r="B846" s="430" t="s">
        <v>1762</v>
      </c>
      <c r="C846" s="711" t="s">
        <v>92</v>
      </c>
      <c r="D846" s="712" t="s">
        <v>344</v>
      </c>
      <c r="E846" s="801">
        <v>70330</v>
      </c>
      <c r="F846" s="713" t="s">
        <v>1048</v>
      </c>
      <c r="G846" s="837">
        <v>10000000</v>
      </c>
      <c r="H846" s="837">
        <v>10000000</v>
      </c>
    </row>
    <row r="847" spans="1:10" ht="21" customHeight="1" x14ac:dyDescent="0.25">
      <c r="A847" s="463"/>
      <c r="B847" s="871" t="s">
        <v>1763</v>
      </c>
      <c r="C847" s="731"/>
      <c r="D847" s="705"/>
      <c r="E847" s="842"/>
      <c r="F847" s="740"/>
      <c r="G847" s="843">
        <f>SUM(G837:G846)</f>
        <v>360925000</v>
      </c>
      <c r="H847" s="843">
        <f>SUM(H837:H846)</f>
        <v>360925000</v>
      </c>
    </row>
    <row r="848" spans="1:10" s="433" customFormat="1" ht="21" customHeight="1" x14ac:dyDescent="0.25">
      <c r="A848" s="870"/>
      <c r="B848" s="430" t="s">
        <v>1764</v>
      </c>
      <c r="C848" s="711" t="s">
        <v>92</v>
      </c>
      <c r="D848" s="712" t="s">
        <v>344</v>
      </c>
      <c r="E848" s="801">
        <v>70330</v>
      </c>
      <c r="F848" s="713" t="s">
        <v>1048</v>
      </c>
      <c r="G848" s="837">
        <v>120000000</v>
      </c>
      <c r="H848" s="837">
        <v>120000000</v>
      </c>
      <c r="I848" s="432"/>
      <c r="J848" s="432"/>
    </row>
    <row r="849" spans="1:10" ht="21" customHeight="1" x14ac:dyDescent="0.25">
      <c r="A849" s="463"/>
      <c r="B849" s="430" t="s">
        <v>1765</v>
      </c>
      <c r="C849" s="711" t="s">
        <v>92</v>
      </c>
      <c r="D849" s="712" t="s">
        <v>344</v>
      </c>
      <c r="E849" s="801">
        <v>70330</v>
      </c>
      <c r="F849" s="713" t="s">
        <v>1048</v>
      </c>
      <c r="G849" s="837">
        <v>24000000</v>
      </c>
      <c r="H849" s="837">
        <v>24000000</v>
      </c>
    </row>
    <row r="850" spans="1:10" ht="21" customHeight="1" x14ac:dyDescent="0.25">
      <c r="A850" s="463"/>
      <c r="B850" s="871" t="s">
        <v>1335</v>
      </c>
      <c r="C850" s="708"/>
      <c r="D850" s="705"/>
      <c r="E850" s="842"/>
      <c r="F850" s="740"/>
      <c r="G850" s="843">
        <f>SUM(G848:G849)</f>
        <v>144000000</v>
      </c>
      <c r="H850" s="843">
        <f>SUM(H848:H849)</f>
        <v>144000000</v>
      </c>
    </row>
    <row r="851" spans="1:10" ht="21" customHeight="1" x14ac:dyDescent="0.25">
      <c r="A851" s="463"/>
      <c r="B851" s="875" t="s">
        <v>1766</v>
      </c>
      <c r="C851" s="708"/>
      <c r="D851" s="705"/>
      <c r="E851" s="875"/>
      <c r="F851" s="875"/>
      <c r="G851" s="843">
        <f>SUM(G847:G849)</f>
        <v>504925000</v>
      </c>
      <c r="H851" s="843">
        <f>SUM(H850,H847)</f>
        <v>504925000</v>
      </c>
    </row>
    <row r="852" spans="1:10" ht="31.5" customHeight="1" x14ac:dyDescent="0.25">
      <c r="A852" s="463"/>
      <c r="B852" s="752" t="s">
        <v>985</v>
      </c>
      <c r="C852" s="772"/>
      <c r="D852" s="712"/>
      <c r="E852" s="753"/>
      <c r="F852" s="753"/>
      <c r="G852" s="753"/>
      <c r="H852" s="463"/>
    </row>
    <row r="853" spans="1:10" ht="21" customHeight="1" x14ac:dyDescent="0.25">
      <c r="A853" s="463"/>
      <c r="B853" s="447" t="s">
        <v>1755</v>
      </c>
      <c r="C853" s="711" t="s">
        <v>92</v>
      </c>
      <c r="D853" s="712" t="s">
        <v>349</v>
      </c>
      <c r="E853" s="801">
        <v>70330</v>
      </c>
      <c r="F853" s="711" t="s">
        <v>1059</v>
      </c>
      <c r="G853" s="462">
        <v>6000000</v>
      </c>
      <c r="H853" s="462">
        <v>6000000</v>
      </c>
    </row>
    <row r="854" spans="1:10" ht="21" customHeight="1" x14ac:dyDescent="0.25">
      <c r="A854" s="463"/>
      <c r="B854" s="430" t="s">
        <v>1767</v>
      </c>
      <c r="C854" s="711" t="s">
        <v>92</v>
      </c>
      <c r="D854" s="712" t="s">
        <v>349</v>
      </c>
      <c r="E854" s="801">
        <v>70330</v>
      </c>
      <c r="F854" s="711" t="s">
        <v>1059</v>
      </c>
      <c r="G854" s="462">
        <v>5000000</v>
      </c>
      <c r="H854" s="462">
        <v>5000000</v>
      </c>
    </row>
    <row r="855" spans="1:10" ht="21" customHeight="1" x14ac:dyDescent="0.25">
      <c r="A855" s="463"/>
      <c r="B855" s="430" t="s">
        <v>1768</v>
      </c>
      <c r="C855" s="711" t="s">
        <v>92</v>
      </c>
      <c r="D855" s="712" t="s">
        <v>349</v>
      </c>
      <c r="E855" s="801">
        <v>70330</v>
      </c>
      <c r="F855" s="713" t="s">
        <v>1048</v>
      </c>
      <c r="G855" s="462">
        <v>4000000</v>
      </c>
      <c r="H855" s="462">
        <v>4000000</v>
      </c>
    </row>
    <row r="856" spans="1:10" ht="21" customHeight="1" x14ac:dyDescent="0.25">
      <c r="A856" s="463"/>
      <c r="B856" s="430" t="s">
        <v>1769</v>
      </c>
      <c r="C856" s="711" t="s">
        <v>92</v>
      </c>
      <c r="D856" s="712" t="s">
        <v>349</v>
      </c>
      <c r="E856" s="801">
        <v>70330</v>
      </c>
      <c r="F856" s="713" t="s">
        <v>1048</v>
      </c>
      <c r="G856" s="462">
        <v>35000000</v>
      </c>
      <c r="H856" s="462">
        <v>35000000</v>
      </c>
    </row>
    <row r="857" spans="1:10" ht="21" customHeight="1" x14ac:dyDescent="0.25">
      <c r="A857" s="463"/>
      <c r="B857" s="430" t="s">
        <v>1770</v>
      </c>
      <c r="C857" s="711" t="s">
        <v>92</v>
      </c>
      <c r="D857" s="712" t="s">
        <v>349</v>
      </c>
      <c r="E857" s="801">
        <v>70330</v>
      </c>
      <c r="F857" s="713" t="s">
        <v>1048</v>
      </c>
      <c r="G857" s="462">
        <v>6000000</v>
      </c>
      <c r="H857" s="462">
        <v>6000000</v>
      </c>
    </row>
    <row r="858" spans="1:10" ht="21" customHeight="1" x14ac:dyDescent="0.25">
      <c r="A858" s="463"/>
      <c r="B858" s="430" t="s">
        <v>1771</v>
      </c>
      <c r="C858" s="711" t="s">
        <v>92</v>
      </c>
      <c r="D858" s="712" t="s">
        <v>349</v>
      </c>
      <c r="E858" s="801">
        <v>70330</v>
      </c>
      <c r="F858" s="711" t="s">
        <v>1760</v>
      </c>
      <c r="G858" s="462">
        <v>1500000</v>
      </c>
      <c r="H858" s="462">
        <v>1500000</v>
      </c>
    </row>
    <row r="859" spans="1:10" ht="21" customHeight="1" x14ac:dyDescent="0.25">
      <c r="A859" s="463"/>
      <c r="B859" s="871" t="s">
        <v>1763</v>
      </c>
      <c r="C859" s="731"/>
      <c r="D859" s="705"/>
      <c r="E859" s="842"/>
      <c r="F859" s="731"/>
      <c r="G859" s="452">
        <f>SUM(G853:G858)</f>
        <v>57500000</v>
      </c>
      <c r="H859" s="452">
        <f>SUM(H853:H858)</f>
        <v>57500000</v>
      </c>
    </row>
    <row r="860" spans="1:10" s="433" customFormat="1" ht="21" customHeight="1" x14ac:dyDescent="0.25">
      <c r="A860" s="870"/>
      <c r="B860" s="430" t="s">
        <v>1772</v>
      </c>
      <c r="C860" s="711" t="s">
        <v>92</v>
      </c>
      <c r="D860" s="712" t="s">
        <v>349</v>
      </c>
      <c r="E860" s="801">
        <v>70330</v>
      </c>
      <c r="F860" s="713" t="s">
        <v>1048</v>
      </c>
      <c r="G860" s="462">
        <v>60000000</v>
      </c>
      <c r="H860" s="462">
        <v>60000000</v>
      </c>
      <c r="I860" s="432"/>
      <c r="J860" s="432"/>
    </row>
    <row r="861" spans="1:10" ht="21" customHeight="1" x14ac:dyDescent="0.25">
      <c r="A861" s="463"/>
      <c r="B861" s="870" t="s">
        <v>1773</v>
      </c>
      <c r="C861" s="705"/>
      <c r="D861" s="705"/>
      <c r="E861" s="870"/>
      <c r="F861" s="473"/>
      <c r="G861" s="870"/>
      <c r="H861" s="473">
        <f>SUM(H859:H860)</f>
        <v>117500000</v>
      </c>
    </row>
    <row r="862" spans="1:10" ht="69.75" customHeight="1" x14ac:dyDescent="0.25">
      <c r="A862" s="756"/>
      <c r="B862" s="467">
        <v>81</v>
      </c>
      <c r="C862" s="806"/>
      <c r="D862" s="806"/>
      <c r="E862" s="474"/>
      <c r="F862" s="800"/>
      <c r="G862" s="474"/>
      <c r="H862" s="800"/>
    </row>
    <row r="863" spans="1:10" ht="21" customHeight="1" x14ac:dyDescent="0.25">
      <c r="A863" s="463"/>
      <c r="B863" s="752" t="s">
        <v>986</v>
      </c>
      <c r="C863" s="772"/>
      <c r="D863" s="712"/>
      <c r="E863" s="753"/>
      <c r="F863" s="753"/>
      <c r="G863" s="753"/>
      <c r="H863" s="463"/>
    </row>
    <row r="864" spans="1:10" ht="21" customHeight="1" x14ac:dyDescent="0.25">
      <c r="A864" s="463"/>
      <c r="B864" s="447" t="s">
        <v>1774</v>
      </c>
      <c r="C864" s="711" t="s">
        <v>92</v>
      </c>
      <c r="D864" s="712" t="s">
        <v>1775</v>
      </c>
      <c r="E864" s="801">
        <v>70330</v>
      </c>
      <c r="F864" s="713" t="s">
        <v>1048</v>
      </c>
      <c r="G864" s="462">
        <v>12000000</v>
      </c>
      <c r="H864" s="462">
        <v>12000000</v>
      </c>
    </row>
    <row r="865" spans="1:10" ht="21" customHeight="1" x14ac:dyDescent="0.25">
      <c r="A865" s="463"/>
      <c r="B865" s="430" t="s">
        <v>1776</v>
      </c>
      <c r="C865" s="711" t="s">
        <v>92</v>
      </c>
      <c r="D865" s="712" t="s">
        <v>1775</v>
      </c>
      <c r="E865" s="801">
        <v>70330</v>
      </c>
      <c r="F865" s="711" t="s">
        <v>1059</v>
      </c>
      <c r="G865" s="462">
        <v>4000000</v>
      </c>
      <c r="H865" s="462">
        <v>4000000</v>
      </c>
    </row>
    <row r="866" spans="1:10" ht="21" customHeight="1" x14ac:dyDescent="0.25">
      <c r="A866" s="463"/>
      <c r="B866" s="447" t="s">
        <v>1755</v>
      </c>
      <c r="C866" s="711" t="s">
        <v>92</v>
      </c>
      <c r="D866" s="712" t="s">
        <v>1775</v>
      </c>
      <c r="E866" s="801">
        <v>70330</v>
      </c>
      <c r="F866" s="711" t="s">
        <v>1059</v>
      </c>
      <c r="G866" s="462">
        <v>1000000</v>
      </c>
      <c r="H866" s="462">
        <v>1000000</v>
      </c>
    </row>
    <row r="867" spans="1:10" ht="21" customHeight="1" x14ac:dyDescent="0.25">
      <c r="A867" s="463"/>
      <c r="B867" s="430" t="s">
        <v>1777</v>
      </c>
      <c r="C867" s="711" t="s">
        <v>92</v>
      </c>
      <c r="D867" s="712" t="s">
        <v>1775</v>
      </c>
      <c r="E867" s="801">
        <v>70330</v>
      </c>
      <c r="F867" s="713" t="s">
        <v>1048</v>
      </c>
      <c r="G867" s="462">
        <v>2500000</v>
      </c>
      <c r="H867" s="462">
        <v>2500000</v>
      </c>
    </row>
    <row r="868" spans="1:10" ht="21" customHeight="1" x14ac:dyDescent="0.25">
      <c r="A868" s="463"/>
      <c r="B868" s="430" t="s">
        <v>1778</v>
      </c>
      <c r="C868" s="711" t="s">
        <v>92</v>
      </c>
      <c r="D868" s="712" t="s">
        <v>1775</v>
      </c>
      <c r="E868" s="801">
        <v>70330</v>
      </c>
      <c r="F868" s="711" t="s">
        <v>1760</v>
      </c>
      <c r="G868" s="462">
        <v>1500000</v>
      </c>
      <c r="H868" s="462">
        <v>1500000</v>
      </c>
    </row>
    <row r="869" spans="1:10" ht="21" customHeight="1" x14ac:dyDescent="0.25">
      <c r="A869" s="463"/>
      <c r="B869" s="430" t="s">
        <v>1779</v>
      </c>
      <c r="C869" s="711" t="s">
        <v>92</v>
      </c>
      <c r="D869" s="712" t="s">
        <v>1775</v>
      </c>
      <c r="E869" s="801">
        <v>70330</v>
      </c>
      <c r="F869" s="711" t="s">
        <v>1059</v>
      </c>
      <c r="G869" s="462">
        <v>3000000</v>
      </c>
      <c r="H869" s="462">
        <v>3000000</v>
      </c>
    </row>
    <row r="870" spans="1:10" ht="21" customHeight="1" x14ac:dyDescent="0.25">
      <c r="A870" s="463"/>
      <c r="B870" s="430" t="s">
        <v>1780</v>
      </c>
      <c r="C870" s="711" t="s">
        <v>92</v>
      </c>
      <c r="D870" s="712" t="s">
        <v>1775</v>
      </c>
      <c r="E870" s="801">
        <v>70330</v>
      </c>
      <c r="F870" s="711" t="s">
        <v>1059</v>
      </c>
      <c r="G870" s="462">
        <v>10000000</v>
      </c>
      <c r="H870" s="462">
        <v>10000000</v>
      </c>
    </row>
    <row r="871" spans="1:10" ht="21" customHeight="1" x14ac:dyDescent="0.25">
      <c r="A871" s="463"/>
      <c r="B871" s="430" t="s">
        <v>1781</v>
      </c>
      <c r="C871" s="711" t="s">
        <v>92</v>
      </c>
      <c r="D871" s="712" t="s">
        <v>1775</v>
      </c>
      <c r="E871" s="801">
        <v>70330</v>
      </c>
      <c r="F871" s="713" t="s">
        <v>1048</v>
      </c>
      <c r="G871" s="462">
        <v>1000000</v>
      </c>
      <c r="H871" s="462">
        <v>1000000</v>
      </c>
    </row>
    <row r="872" spans="1:10" ht="21" customHeight="1" x14ac:dyDescent="0.25">
      <c r="A872" s="463"/>
      <c r="B872" s="871" t="s">
        <v>1763</v>
      </c>
      <c r="C872" s="711" t="s">
        <v>92</v>
      </c>
      <c r="D872" s="705"/>
      <c r="E872" s="871"/>
      <c r="F872" s="871"/>
      <c r="G872" s="498">
        <f>SUM(G864:G871)</f>
        <v>35000000</v>
      </c>
      <c r="H872" s="473">
        <f>SUM(H864:H871)</f>
        <v>35000000</v>
      </c>
    </row>
    <row r="873" spans="1:10" ht="21" customHeight="1" x14ac:dyDescent="0.25">
      <c r="A873" s="463"/>
      <c r="B873" s="430" t="s">
        <v>1676</v>
      </c>
      <c r="C873" s="812"/>
      <c r="D873" s="712" t="s">
        <v>1775</v>
      </c>
      <c r="E873" s="801">
        <v>70330</v>
      </c>
      <c r="F873" s="713" t="s">
        <v>1048</v>
      </c>
      <c r="G873" s="462">
        <v>9000000</v>
      </c>
      <c r="H873" s="462">
        <v>9000000</v>
      </c>
    </row>
    <row r="874" spans="1:10" ht="21" customHeight="1" x14ac:dyDescent="0.25">
      <c r="A874" s="463"/>
      <c r="B874" s="871" t="s">
        <v>1782</v>
      </c>
      <c r="C874" s="812"/>
      <c r="D874" s="712"/>
      <c r="E874" s="801"/>
      <c r="F874" s="713"/>
      <c r="G874" s="462"/>
      <c r="H874" s="452">
        <f>SUM(H872:H873)</f>
        <v>44000000</v>
      </c>
    </row>
    <row r="875" spans="1:10" ht="30" customHeight="1" x14ac:dyDescent="0.4">
      <c r="A875" s="870" t="s">
        <v>1783</v>
      </c>
      <c r="B875" s="870"/>
      <c r="C875" s="779"/>
      <c r="D875" s="705"/>
      <c r="E875" s="870"/>
      <c r="F875" s="870"/>
      <c r="G875" s="870"/>
      <c r="H875" s="489">
        <f>SUM(H834,H851,H861,H874)</f>
        <v>2165965000</v>
      </c>
      <c r="I875" s="468"/>
      <c r="J875" s="450"/>
    </row>
    <row r="876" spans="1:10" ht="30" customHeight="1" x14ac:dyDescent="0.4">
      <c r="A876" s="463"/>
      <c r="B876" s="704" t="s">
        <v>38</v>
      </c>
      <c r="C876" s="779"/>
      <c r="D876" s="712"/>
      <c r="E876" s="463"/>
      <c r="F876" s="463"/>
      <c r="G876" s="463"/>
      <c r="H876" s="486"/>
    </row>
    <row r="877" spans="1:10" ht="39.950000000000003" customHeight="1" x14ac:dyDescent="0.25">
      <c r="A877" s="463"/>
      <c r="B877" s="437" t="s">
        <v>1784</v>
      </c>
      <c r="C877" s="772"/>
      <c r="D877" s="712"/>
      <c r="E877" s="753"/>
      <c r="F877" s="753"/>
      <c r="G877" s="753"/>
      <c r="H877" s="463"/>
    </row>
    <row r="878" spans="1:10" ht="21" customHeight="1" x14ac:dyDescent="0.25">
      <c r="A878" s="463"/>
      <c r="B878" s="430" t="s">
        <v>1785</v>
      </c>
      <c r="C878" s="711" t="s">
        <v>92</v>
      </c>
      <c r="D878" s="712" t="s">
        <v>1786</v>
      </c>
      <c r="E878" s="463">
        <v>70111</v>
      </c>
      <c r="F878" s="711" t="s">
        <v>1059</v>
      </c>
      <c r="G878" s="462">
        <v>10000000</v>
      </c>
      <c r="H878" s="462">
        <v>10000000</v>
      </c>
    </row>
    <row r="879" spans="1:10" ht="39.950000000000003" customHeight="1" x14ac:dyDescent="0.25">
      <c r="A879" s="463"/>
      <c r="B879" s="752" t="s">
        <v>1787</v>
      </c>
      <c r="C879" s="772"/>
      <c r="D879" s="712"/>
      <c r="E879" s="753"/>
      <c r="F879" s="753"/>
      <c r="G879" s="753"/>
      <c r="H879" s="463"/>
    </row>
    <row r="880" spans="1:10" ht="21" customHeight="1" x14ac:dyDescent="0.25">
      <c r="A880" s="463"/>
      <c r="B880" s="430" t="s">
        <v>836</v>
      </c>
      <c r="C880" s="711" t="s">
        <v>92</v>
      </c>
      <c r="D880" s="712" t="s">
        <v>1788</v>
      </c>
      <c r="E880" s="463">
        <v>70111</v>
      </c>
      <c r="F880" s="711" t="s">
        <v>1059</v>
      </c>
      <c r="G880" s="462">
        <v>80000000</v>
      </c>
      <c r="H880" s="462">
        <v>80000000</v>
      </c>
    </row>
    <row r="881" spans="1:9" ht="21" customHeight="1" x14ac:dyDescent="0.25">
      <c r="A881" s="463"/>
      <c r="B881" s="430" t="s">
        <v>836</v>
      </c>
      <c r="C881" s="711" t="s">
        <v>92</v>
      </c>
      <c r="D881" s="712" t="s">
        <v>1788</v>
      </c>
      <c r="E881" s="463">
        <v>70111</v>
      </c>
      <c r="F881" s="711" t="s">
        <v>1059</v>
      </c>
      <c r="G881" s="462">
        <v>45000000</v>
      </c>
      <c r="H881" s="462">
        <v>45000000</v>
      </c>
    </row>
    <row r="882" spans="1:9" ht="21" customHeight="1" x14ac:dyDescent="0.25">
      <c r="A882" s="463"/>
      <c r="B882" s="875" t="s">
        <v>1789</v>
      </c>
      <c r="C882" s="705"/>
      <c r="D882" s="705"/>
      <c r="E882" s="870"/>
      <c r="F882" s="870"/>
      <c r="G882" s="473">
        <f>SUM(G880:G881)</f>
        <v>125000000</v>
      </c>
      <c r="H882" s="473">
        <f>SUM(H880:H881)</f>
        <v>125000000</v>
      </c>
    </row>
    <row r="883" spans="1:9" ht="39.950000000000003" customHeight="1" x14ac:dyDescent="0.25">
      <c r="A883" s="463"/>
      <c r="B883" s="752" t="s">
        <v>1790</v>
      </c>
      <c r="C883" s="772"/>
      <c r="D883" s="712"/>
      <c r="E883" s="870"/>
      <c r="F883" s="870"/>
      <c r="G883" s="473"/>
      <c r="H883" s="473"/>
    </row>
    <row r="884" spans="1:9" ht="21" customHeight="1" x14ac:dyDescent="0.25">
      <c r="A884" s="463"/>
      <c r="B884" s="457" t="s">
        <v>837</v>
      </c>
      <c r="C884" s="711" t="s">
        <v>92</v>
      </c>
      <c r="D884" s="712" t="s">
        <v>2278</v>
      </c>
      <c r="E884" s="870"/>
      <c r="F884" s="870"/>
      <c r="G884" s="473"/>
      <c r="H884" s="754">
        <v>125000000</v>
      </c>
    </row>
    <row r="885" spans="1:9" ht="30" customHeight="1" x14ac:dyDescent="0.4">
      <c r="A885" s="870" t="s">
        <v>1791</v>
      </c>
      <c r="B885" s="704"/>
      <c r="C885" s="845"/>
      <c r="D885" s="844"/>
      <c r="E885" s="704"/>
      <c r="F885" s="704"/>
      <c r="G885" s="704"/>
      <c r="H885" s="489">
        <f>SUM(H878,H882,H884)</f>
        <v>260000000</v>
      </c>
      <c r="I885" s="468"/>
    </row>
    <row r="886" spans="1:9" ht="59.25" customHeight="1" x14ac:dyDescent="0.4">
      <c r="A886" s="756"/>
      <c r="B886" s="467">
        <v>82</v>
      </c>
      <c r="C886" s="847"/>
      <c r="D886" s="846"/>
      <c r="E886" s="848"/>
      <c r="F886" s="848"/>
      <c r="G886" s="848"/>
      <c r="H886" s="487"/>
      <c r="I886" s="468"/>
    </row>
    <row r="887" spans="1:9" ht="30" customHeight="1" x14ac:dyDescent="0.25">
      <c r="A887" s="463"/>
      <c r="B887" s="706" t="s">
        <v>988</v>
      </c>
      <c r="C887" s="705"/>
      <c r="D887" s="705"/>
      <c r="E887" s="870"/>
      <c r="F887" s="870"/>
      <c r="G887" s="473"/>
      <c r="H887" s="473"/>
    </row>
    <row r="888" spans="1:9" ht="32.25" customHeight="1" x14ac:dyDescent="0.25">
      <c r="A888" s="463"/>
      <c r="B888" s="752" t="s">
        <v>989</v>
      </c>
      <c r="C888" s="712"/>
      <c r="D888" s="752"/>
      <c r="E888" s="849"/>
      <c r="F888" s="849"/>
      <c r="G888" s="849"/>
      <c r="H888" s="463"/>
    </row>
    <row r="889" spans="1:9" ht="20.100000000000001" customHeight="1" x14ac:dyDescent="0.25">
      <c r="A889" s="463"/>
      <c r="B889" s="447" t="s">
        <v>1792</v>
      </c>
      <c r="C889" s="711" t="s">
        <v>92</v>
      </c>
      <c r="D889" s="712" t="s">
        <v>416</v>
      </c>
      <c r="E889" s="783">
        <v>70810</v>
      </c>
      <c r="F889" s="711" t="s">
        <v>1061</v>
      </c>
      <c r="G889" s="462">
        <v>10000000</v>
      </c>
      <c r="H889" s="462">
        <v>10000000</v>
      </c>
    </row>
    <row r="890" spans="1:9" ht="20.100000000000001" customHeight="1" x14ac:dyDescent="0.25">
      <c r="A890" s="463"/>
      <c r="B890" s="430" t="s">
        <v>1793</v>
      </c>
      <c r="C890" s="711" t="s">
        <v>92</v>
      </c>
      <c r="D890" s="712" t="s">
        <v>416</v>
      </c>
      <c r="E890" s="783">
        <v>70810</v>
      </c>
      <c r="F890" s="711" t="s">
        <v>1794</v>
      </c>
      <c r="G890" s="462">
        <v>20000000</v>
      </c>
      <c r="H890" s="462">
        <v>20000000</v>
      </c>
    </row>
    <row r="891" spans="1:9" ht="20.100000000000001" customHeight="1" x14ac:dyDescent="0.25">
      <c r="A891" s="463"/>
      <c r="B891" s="430" t="s">
        <v>1795</v>
      </c>
      <c r="C891" s="711" t="s">
        <v>92</v>
      </c>
      <c r="D891" s="712" t="s">
        <v>416</v>
      </c>
      <c r="E891" s="783">
        <v>70810</v>
      </c>
      <c r="F891" s="711" t="s">
        <v>1796</v>
      </c>
      <c r="G891" s="462">
        <v>3000000</v>
      </c>
      <c r="H891" s="462">
        <v>5000000</v>
      </c>
    </row>
    <row r="892" spans="1:9" ht="20.100000000000001" customHeight="1" x14ac:dyDescent="0.25">
      <c r="A892" s="463"/>
      <c r="B892" s="430" t="s">
        <v>1797</v>
      </c>
      <c r="C892" s="711" t="s">
        <v>92</v>
      </c>
      <c r="D892" s="712" t="s">
        <v>416</v>
      </c>
      <c r="E892" s="783">
        <v>70810</v>
      </c>
      <c r="F892" s="711" t="s">
        <v>1059</v>
      </c>
      <c r="G892" s="462">
        <v>1000000</v>
      </c>
      <c r="H892" s="462">
        <v>30000000</v>
      </c>
    </row>
    <row r="893" spans="1:9" ht="20.100000000000001" customHeight="1" x14ac:dyDescent="0.25">
      <c r="A893" s="463"/>
      <c r="B893" s="430" t="s">
        <v>1798</v>
      </c>
      <c r="C893" s="711" t="s">
        <v>92</v>
      </c>
      <c r="D893" s="712" t="s">
        <v>416</v>
      </c>
      <c r="E893" s="783">
        <v>70810</v>
      </c>
      <c r="F893" s="711" t="s">
        <v>1760</v>
      </c>
      <c r="G893" s="462">
        <v>1000000</v>
      </c>
      <c r="H893" s="462">
        <v>1000000</v>
      </c>
    </row>
    <row r="894" spans="1:9" ht="20.100000000000001" customHeight="1" x14ac:dyDescent="0.25">
      <c r="A894" s="463"/>
      <c r="B894" s="430" t="s">
        <v>1799</v>
      </c>
      <c r="C894" s="711" t="s">
        <v>92</v>
      </c>
      <c r="D894" s="712" t="s">
        <v>416</v>
      </c>
      <c r="E894" s="783">
        <v>70810</v>
      </c>
      <c r="F894" s="711" t="s">
        <v>1059</v>
      </c>
      <c r="G894" s="462">
        <v>3000000</v>
      </c>
      <c r="H894" s="462">
        <v>2500000</v>
      </c>
    </row>
    <row r="895" spans="1:9" ht="20.100000000000001" customHeight="1" x14ac:dyDescent="0.25">
      <c r="A895" s="463"/>
      <c r="B895" s="430" t="s">
        <v>1800</v>
      </c>
      <c r="C895" s="711" t="s">
        <v>92</v>
      </c>
      <c r="D895" s="712" t="s">
        <v>416</v>
      </c>
      <c r="E895" s="783">
        <v>70810</v>
      </c>
      <c r="F895" s="711" t="s">
        <v>1801</v>
      </c>
      <c r="G895" s="462">
        <v>30000000</v>
      </c>
      <c r="H895" s="462">
        <v>1000000</v>
      </c>
    </row>
    <row r="896" spans="1:9" ht="20.100000000000001" customHeight="1" x14ac:dyDescent="0.25">
      <c r="A896" s="463"/>
      <c r="B896" s="430" t="s">
        <v>1802</v>
      </c>
      <c r="C896" s="711" t="s">
        <v>92</v>
      </c>
      <c r="D896" s="712" t="s">
        <v>416</v>
      </c>
      <c r="E896" s="783">
        <v>70810</v>
      </c>
      <c r="F896" s="711" t="s">
        <v>1803</v>
      </c>
      <c r="G896" s="462">
        <v>500000</v>
      </c>
      <c r="H896" s="462">
        <v>2000000</v>
      </c>
    </row>
    <row r="897" spans="1:10" ht="20.100000000000001" customHeight="1" x14ac:dyDescent="0.25">
      <c r="A897" s="463"/>
      <c r="B897" s="430" t="s">
        <v>1804</v>
      </c>
      <c r="C897" s="711" t="s">
        <v>92</v>
      </c>
      <c r="D897" s="712" t="s">
        <v>416</v>
      </c>
      <c r="E897" s="783">
        <v>70810</v>
      </c>
      <c r="F897" s="711" t="s">
        <v>1059</v>
      </c>
      <c r="G897" s="462">
        <v>6000000</v>
      </c>
      <c r="H897" s="462">
        <v>6000000</v>
      </c>
    </row>
    <row r="898" spans="1:10" ht="20.100000000000001" customHeight="1" x14ac:dyDescent="0.25">
      <c r="A898" s="463"/>
      <c r="B898" s="436" t="s">
        <v>1805</v>
      </c>
      <c r="C898" s="745" t="s">
        <v>92</v>
      </c>
      <c r="D898" s="746" t="s">
        <v>416</v>
      </c>
      <c r="E898" s="785">
        <v>70810</v>
      </c>
      <c r="F898" s="747" t="s">
        <v>1048</v>
      </c>
      <c r="G898" s="451">
        <v>10000000</v>
      </c>
      <c r="H898" s="451">
        <v>10000000</v>
      </c>
    </row>
    <row r="899" spans="1:10" s="455" customFormat="1" ht="20.100000000000001" customHeight="1" x14ac:dyDescent="0.25">
      <c r="A899" s="763"/>
      <c r="B899" s="436" t="s">
        <v>1806</v>
      </c>
      <c r="C899" s="745" t="s">
        <v>92</v>
      </c>
      <c r="D899" s="746" t="s">
        <v>416</v>
      </c>
      <c r="E899" s="785">
        <v>70810</v>
      </c>
      <c r="F899" s="745" t="s">
        <v>1794</v>
      </c>
      <c r="G899" s="451">
        <v>3000000</v>
      </c>
      <c r="H899" s="451">
        <v>0</v>
      </c>
      <c r="I899" s="454"/>
      <c r="J899" s="454"/>
    </row>
    <row r="900" spans="1:10" s="455" customFormat="1" ht="20.100000000000001" customHeight="1" x14ac:dyDescent="0.25">
      <c r="A900" s="763"/>
      <c r="B900" s="870" t="s">
        <v>117</v>
      </c>
      <c r="C900" s="779"/>
      <c r="D900" s="705"/>
      <c r="E900" s="871"/>
      <c r="F900" s="871"/>
      <c r="G900" s="498">
        <f>SUM(G889:G899)</f>
        <v>87500000</v>
      </c>
      <c r="H900" s="498">
        <f>SUM(H889:H899)</f>
        <v>87500000</v>
      </c>
      <c r="I900" s="454"/>
      <c r="J900" s="454"/>
    </row>
    <row r="901" spans="1:10" s="433" customFormat="1" ht="20.100000000000001" customHeight="1" x14ac:dyDescent="0.25">
      <c r="A901" s="870"/>
      <c r="B901" s="436" t="s">
        <v>1807</v>
      </c>
      <c r="C901" s="745" t="s">
        <v>92</v>
      </c>
      <c r="D901" s="746" t="s">
        <v>416</v>
      </c>
      <c r="E901" s="785">
        <v>70810</v>
      </c>
      <c r="F901" s="747" t="s">
        <v>1048</v>
      </c>
      <c r="G901" s="451">
        <v>12000000</v>
      </c>
      <c r="H901" s="451">
        <f>12000000+4000000</f>
        <v>16000000</v>
      </c>
      <c r="I901" s="432"/>
      <c r="J901" s="432"/>
    </row>
    <row r="902" spans="1:10" s="433" customFormat="1" ht="20.100000000000001" customHeight="1" x14ac:dyDescent="0.25">
      <c r="A902" s="870"/>
      <c r="B902" s="871" t="s">
        <v>1808</v>
      </c>
      <c r="C902" s="779"/>
      <c r="D902" s="705"/>
      <c r="E902" s="871"/>
      <c r="F902" s="871"/>
      <c r="G902" s="498">
        <f>SUM(G900:G901)</f>
        <v>99500000</v>
      </c>
      <c r="H902" s="498">
        <f>SUM(H900:H901)</f>
        <v>103500000</v>
      </c>
      <c r="I902" s="432"/>
      <c r="J902" s="432"/>
    </row>
    <row r="903" spans="1:10" ht="25.5" customHeight="1" x14ac:dyDescent="0.25">
      <c r="A903" s="463"/>
      <c r="B903" s="752" t="s">
        <v>1809</v>
      </c>
      <c r="C903" s="712"/>
      <c r="D903" s="712"/>
      <c r="E903" s="753"/>
      <c r="F903" s="753"/>
      <c r="G903" s="753"/>
      <c r="H903" s="463"/>
    </row>
    <row r="904" spans="1:10" ht="20.100000000000001" customHeight="1" x14ac:dyDescent="0.25">
      <c r="A904" s="463"/>
      <c r="B904" s="430" t="s">
        <v>1810</v>
      </c>
      <c r="C904" s="711" t="s">
        <v>92</v>
      </c>
      <c r="D904" s="712" t="s">
        <v>453</v>
      </c>
      <c r="E904" s="783">
        <v>70133</v>
      </c>
      <c r="F904" s="713" t="s">
        <v>1048</v>
      </c>
      <c r="G904" s="462">
        <v>100000000</v>
      </c>
      <c r="H904" s="462">
        <v>100000000</v>
      </c>
    </row>
    <row r="905" spans="1:10" ht="20.100000000000001" customHeight="1" x14ac:dyDescent="0.25">
      <c r="A905" s="463"/>
      <c r="B905" s="430" t="s">
        <v>1811</v>
      </c>
      <c r="C905" s="711" t="s">
        <v>92</v>
      </c>
      <c r="D905" s="712" t="s">
        <v>453</v>
      </c>
      <c r="E905" s="783">
        <v>70133</v>
      </c>
      <c r="F905" s="713" t="s">
        <v>1048</v>
      </c>
      <c r="G905" s="462">
        <v>10000000</v>
      </c>
      <c r="H905" s="462">
        <f>1570000*12</f>
        <v>18840000</v>
      </c>
    </row>
    <row r="906" spans="1:10" ht="20.100000000000001" customHeight="1" x14ac:dyDescent="0.25">
      <c r="A906" s="463"/>
      <c r="B906" s="430" t="s">
        <v>1812</v>
      </c>
      <c r="C906" s="711" t="s">
        <v>92</v>
      </c>
      <c r="D906" s="712" t="s">
        <v>453</v>
      </c>
      <c r="E906" s="783">
        <v>70133</v>
      </c>
      <c r="F906" s="713" t="s">
        <v>1048</v>
      </c>
      <c r="G906" s="462">
        <v>4000000</v>
      </c>
      <c r="H906" s="462">
        <v>4000000</v>
      </c>
    </row>
    <row r="907" spans="1:10" ht="20.100000000000001" customHeight="1" x14ac:dyDescent="0.25">
      <c r="A907" s="463"/>
      <c r="B907" s="871" t="s">
        <v>117</v>
      </c>
      <c r="C907" s="731"/>
      <c r="D907" s="705"/>
      <c r="E907" s="784"/>
      <c r="F907" s="740"/>
      <c r="G907" s="452">
        <f>SUM(G904:G906)</f>
        <v>114000000</v>
      </c>
      <c r="H907" s="473">
        <f>SUM(H904:H906)</f>
        <v>122840000</v>
      </c>
    </row>
    <row r="908" spans="1:10" ht="20.100000000000001" customHeight="1" x14ac:dyDescent="0.25">
      <c r="A908" s="463"/>
      <c r="B908" s="871" t="s">
        <v>1323</v>
      </c>
      <c r="C908" s="711"/>
      <c r="D908" s="712"/>
      <c r="E908" s="783"/>
      <c r="F908" s="713"/>
      <c r="G908" s="462"/>
      <c r="H908" s="754"/>
    </row>
    <row r="909" spans="1:10" ht="20.100000000000001" customHeight="1" x14ac:dyDescent="0.25">
      <c r="A909" s="463"/>
      <c r="B909" s="436" t="s">
        <v>1813</v>
      </c>
      <c r="C909" s="745" t="s">
        <v>92</v>
      </c>
      <c r="D909" s="746" t="s">
        <v>453</v>
      </c>
      <c r="E909" s="785">
        <v>70133</v>
      </c>
      <c r="F909" s="747" t="s">
        <v>1048</v>
      </c>
      <c r="G909" s="462">
        <v>2400000</v>
      </c>
      <c r="H909" s="462">
        <v>2400000</v>
      </c>
    </row>
    <row r="910" spans="1:10" ht="20.100000000000001" customHeight="1" x14ac:dyDescent="0.25">
      <c r="A910" s="463"/>
      <c r="B910" s="436" t="s">
        <v>1814</v>
      </c>
      <c r="C910" s="745" t="s">
        <v>92</v>
      </c>
      <c r="D910" s="746" t="s">
        <v>453</v>
      </c>
      <c r="E910" s="785">
        <v>70133</v>
      </c>
      <c r="F910" s="747" t="s">
        <v>1048</v>
      </c>
      <c r="G910" s="462">
        <v>5400000</v>
      </c>
      <c r="H910" s="462">
        <v>5400000</v>
      </c>
    </row>
    <row r="911" spans="1:10" ht="20.100000000000001" customHeight="1" x14ac:dyDescent="0.25">
      <c r="A911" s="463"/>
      <c r="B911" s="871" t="s">
        <v>117</v>
      </c>
      <c r="C911" s="731"/>
      <c r="D911" s="705"/>
      <c r="E911" s="784"/>
      <c r="F911" s="740"/>
      <c r="G911" s="452">
        <f>SUM(G909:G910)</f>
        <v>7800000</v>
      </c>
      <c r="H911" s="452">
        <f>SUM(H909:H910)</f>
        <v>7800000</v>
      </c>
    </row>
    <row r="912" spans="1:10" ht="20.100000000000001" customHeight="1" x14ac:dyDescent="0.25">
      <c r="A912" s="463"/>
      <c r="B912" s="871" t="s">
        <v>1815</v>
      </c>
      <c r="C912" s="731"/>
      <c r="D912" s="705"/>
      <c r="E912" s="784"/>
      <c r="F912" s="740"/>
      <c r="G912" s="452">
        <f>G907+G911</f>
        <v>121800000</v>
      </c>
      <c r="H912" s="452">
        <f>SUM(H907,H911)</f>
        <v>130640000</v>
      </c>
    </row>
    <row r="913" spans="1:8" ht="65.25" customHeight="1" x14ac:dyDescent="0.25">
      <c r="A913" s="756"/>
      <c r="B913" s="449">
        <v>83</v>
      </c>
      <c r="C913" s="850"/>
      <c r="D913" s="806"/>
      <c r="E913" s="851"/>
      <c r="F913" s="852"/>
      <c r="G913" s="786"/>
      <c r="H913" s="786"/>
    </row>
    <row r="914" spans="1:8" ht="30" customHeight="1" x14ac:dyDescent="0.25">
      <c r="A914" s="463"/>
      <c r="B914" s="752" t="s">
        <v>991</v>
      </c>
      <c r="C914" s="712"/>
      <c r="D914" s="712"/>
      <c r="E914" s="753"/>
      <c r="F914" s="753"/>
      <c r="G914" s="753"/>
      <c r="H914" s="463"/>
    </row>
    <row r="915" spans="1:8" ht="21" customHeight="1" x14ac:dyDescent="0.25">
      <c r="A915" s="463"/>
      <c r="B915" s="430" t="s">
        <v>1816</v>
      </c>
      <c r="C915" s="711" t="s">
        <v>92</v>
      </c>
      <c r="D915" s="712" t="s">
        <v>1817</v>
      </c>
      <c r="E915" s="783" t="s">
        <v>1818</v>
      </c>
      <c r="F915" s="713" t="s">
        <v>1048</v>
      </c>
      <c r="G915" s="462">
        <v>2500000</v>
      </c>
      <c r="H915" s="462">
        <v>2500000</v>
      </c>
    </row>
    <row r="916" spans="1:8" ht="21" customHeight="1" x14ac:dyDescent="0.25">
      <c r="A916" s="463"/>
      <c r="B916" s="430" t="s">
        <v>1819</v>
      </c>
      <c r="C916" s="711" t="s">
        <v>92</v>
      </c>
      <c r="D916" s="712" t="s">
        <v>1820</v>
      </c>
      <c r="E916" s="783">
        <v>70133</v>
      </c>
      <c r="F916" s="713" t="s">
        <v>1048</v>
      </c>
      <c r="G916" s="462">
        <v>735000</v>
      </c>
      <c r="H916" s="462">
        <v>735000</v>
      </c>
    </row>
    <row r="917" spans="1:8" ht="21" customHeight="1" x14ac:dyDescent="0.25">
      <c r="A917" s="463"/>
      <c r="B917" s="430" t="s">
        <v>1821</v>
      </c>
      <c r="C917" s="711" t="s">
        <v>92</v>
      </c>
      <c r="D917" s="712" t="s">
        <v>1820</v>
      </c>
      <c r="E917" s="783">
        <v>70133</v>
      </c>
      <c r="F917" s="713" t="s">
        <v>1048</v>
      </c>
      <c r="G917" s="462">
        <v>1000000</v>
      </c>
      <c r="H917" s="462">
        <v>1000000</v>
      </c>
    </row>
    <row r="918" spans="1:8" ht="21" customHeight="1" x14ac:dyDescent="0.25">
      <c r="A918" s="463"/>
      <c r="B918" s="780" t="s">
        <v>1822</v>
      </c>
      <c r="C918" s="745" t="s">
        <v>92</v>
      </c>
      <c r="D918" s="746" t="s">
        <v>1820</v>
      </c>
      <c r="E918" s="785">
        <v>70133</v>
      </c>
      <c r="F918" s="747" t="s">
        <v>1048</v>
      </c>
      <c r="G918" s="462">
        <v>3600000</v>
      </c>
      <c r="H918" s="462">
        <v>3600000</v>
      </c>
    </row>
    <row r="919" spans="1:8" ht="21" customHeight="1" x14ac:dyDescent="0.25">
      <c r="A919" s="463"/>
      <c r="B919" s="871" t="s">
        <v>117</v>
      </c>
      <c r="C919" s="779"/>
      <c r="D919" s="705"/>
      <c r="E919" s="871"/>
      <c r="F919" s="871"/>
      <c r="G919" s="498">
        <f>SUM(G915:G918)</f>
        <v>7835000</v>
      </c>
      <c r="H919" s="498">
        <f>SUM(H915:H918)</f>
        <v>7835000</v>
      </c>
    </row>
    <row r="920" spans="1:8" ht="21" customHeight="1" x14ac:dyDescent="0.25">
      <c r="A920" s="463"/>
      <c r="B920" s="436" t="s">
        <v>1823</v>
      </c>
      <c r="C920" s="745" t="s">
        <v>92</v>
      </c>
      <c r="D920" s="746" t="s">
        <v>1820</v>
      </c>
      <c r="E920" s="785">
        <v>70133</v>
      </c>
      <c r="F920" s="747" t="s">
        <v>1048</v>
      </c>
      <c r="G920" s="462">
        <v>11400000</v>
      </c>
      <c r="H920" s="462">
        <v>11400000</v>
      </c>
    </row>
    <row r="921" spans="1:8" ht="21" customHeight="1" x14ac:dyDescent="0.25">
      <c r="A921" s="463"/>
      <c r="B921" s="871" t="s">
        <v>1824</v>
      </c>
      <c r="C921" s="779"/>
      <c r="D921" s="705"/>
      <c r="E921" s="871"/>
      <c r="F921" s="871"/>
      <c r="G921" s="498">
        <f>SUM(G919:G920)</f>
        <v>19235000</v>
      </c>
      <c r="H921" s="473">
        <f>SUM(H919:H920)</f>
        <v>19235000</v>
      </c>
    </row>
    <row r="922" spans="1:8" ht="30" customHeight="1" x14ac:dyDescent="0.25">
      <c r="A922" s="463"/>
      <c r="B922" s="752" t="s">
        <v>1825</v>
      </c>
      <c r="C922" s="712"/>
      <c r="D922" s="752"/>
      <c r="E922" s="753"/>
      <c r="F922" s="753"/>
      <c r="G922" s="753"/>
      <c r="H922" s="463"/>
    </row>
    <row r="923" spans="1:8" ht="21" customHeight="1" x14ac:dyDescent="0.25">
      <c r="A923" s="463"/>
      <c r="B923" s="430" t="s">
        <v>1826</v>
      </c>
      <c r="C923" s="711" t="s">
        <v>92</v>
      </c>
      <c r="D923" s="712" t="s">
        <v>205</v>
      </c>
      <c r="E923" s="783">
        <v>70560</v>
      </c>
      <c r="F923" s="711" t="s">
        <v>1827</v>
      </c>
      <c r="G923" s="462">
        <v>2000000</v>
      </c>
      <c r="H923" s="462">
        <v>2000000</v>
      </c>
    </row>
    <row r="924" spans="1:8" ht="21" customHeight="1" x14ac:dyDescent="0.25">
      <c r="A924" s="463"/>
      <c r="B924" s="430" t="s">
        <v>1828</v>
      </c>
      <c r="C924" s="711" t="s">
        <v>92</v>
      </c>
      <c r="D924" s="712" t="s">
        <v>205</v>
      </c>
      <c r="E924" s="783">
        <v>70560</v>
      </c>
      <c r="F924" s="711" t="s">
        <v>1827</v>
      </c>
      <c r="G924" s="462">
        <v>1000000</v>
      </c>
      <c r="H924" s="462">
        <v>1000000</v>
      </c>
    </row>
    <row r="925" spans="1:8" ht="21" customHeight="1" x14ac:dyDescent="0.25">
      <c r="A925" s="463"/>
      <c r="B925" s="430" t="s">
        <v>1338</v>
      </c>
      <c r="C925" s="711" t="s">
        <v>92</v>
      </c>
      <c r="D925" s="712" t="s">
        <v>205</v>
      </c>
      <c r="E925" s="783">
        <v>70560</v>
      </c>
      <c r="F925" s="711" t="s">
        <v>1059</v>
      </c>
      <c r="G925" s="462">
        <v>1000000</v>
      </c>
      <c r="H925" s="462">
        <v>1000000</v>
      </c>
    </row>
    <row r="926" spans="1:8" ht="36" customHeight="1" x14ac:dyDescent="0.25">
      <c r="A926" s="463"/>
      <c r="B926" s="430" t="s">
        <v>1829</v>
      </c>
      <c r="C926" s="711" t="s">
        <v>92</v>
      </c>
      <c r="D926" s="712" t="s">
        <v>205</v>
      </c>
      <c r="E926" s="783">
        <v>70560</v>
      </c>
      <c r="F926" s="711" t="s">
        <v>1827</v>
      </c>
      <c r="G926" s="462">
        <v>42000000</v>
      </c>
      <c r="H926" s="462">
        <v>42000000</v>
      </c>
    </row>
    <row r="927" spans="1:8" ht="21" customHeight="1" x14ac:dyDescent="0.25">
      <c r="A927" s="463"/>
      <c r="B927" s="870" t="s">
        <v>117</v>
      </c>
      <c r="C927" s="712"/>
      <c r="D927" s="712"/>
      <c r="E927" s="463"/>
      <c r="F927" s="463"/>
      <c r="G927" s="473">
        <f>SUM(G923:G926)</f>
        <v>46000000</v>
      </c>
      <c r="H927" s="473">
        <f>SUM(H923:H926)</f>
        <v>46000000</v>
      </c>
    </row>
    <row r="928" spans="1:8" ht="21" customHeight="1" x14ac:dyDescent="0.25">
      <c r="A928" s="463"/>
      <c r="B928" s="780" t="s">
        <v>1830</v>
      </c>
      <c r="C928" s="745" t="s">
        <v>92</v>
      </c>
      <c r="D928" s="746" t="s">
        <v>205</v>
      </c>
      <c r="E928" s="785">
        <v>70560</v>
      </c>
      <c r="F928" s="745" t="s">
        <v>1827</v>
      </c>
      <c r="G928" s="462">
        <v>15000000</v>
      </c>
      <c r="H928" s="462">
        <v>15000000</v>
      </c>
    </row>
    <row r="929" spans="1:8" ht="21" customHeight="1" x14ac:dyDescent="0.25">
      <c r="A929" s="463"/>
      <c r="B929" s="436" t="s">
        <v>1831</v>
      </c>
      <c r="C929" s="745" t="s">
        <v>92</v>
      </c>
      <c r="D929" s="746" t="s">
        <v>205</v>
      </c>
      <c r="E929" s="785">
        <v>70560</v>
      </c>
      <c r="F929" s="747" t="s">
        <v>1048</v>
      </c>
      <c r="G929" s="462">
        <v>13200000</v>
      </c>
      <c r="H929" s="462">
        <v>13200000</v>
      </c>
    </row>
    <row r="930" spans="1:8" ht="21" customHeight="1" x14ac:dyDescent="0.25">
      <c r="A930" s="463"/>
      <c r="B930" s="870" t="s">
        <v>117</v>
      </c>
      <c r="C930" s="712"/>
      <c r="D930" s="712"/>
      <c r="E930" s="463"/>
      <c r="F930" s="463"/>
      <c r="G930" s="473">
        <f>SUM(G928:G929)</f>
        <v>28200000</v>
      </c>
      <c r="H930" s="473">
        <f>SUM(H928:H929)</f>
        <v>28200000</v>
      </c>
    </row>
    <row r="931" spans="1:8" ht="21" customHeight="1" x14ac:dyDescent="0.25">
      <c r="A931" s="463"/>
      <c r="B931" s="870" t="s">
        <v>1832</v>
      </c>
      <c r="C931" s="705"/>
      <c r="D931" s="705"/>
      <c r="E931" s="870"/>
      <c r="F931" s="870"/>
      <c r="G931" s="473">
        <f>G927+G930</f>
        <v>74200000</v>
      </c>
      <c r="H931" s="473">
        <f>SUM(H927,H930)</f>
        <v>74200000</v>
      </c>
    </row>
    <row r="932" spans="1:8" ht="30" customHeight="1" x14ac:dyDescent="0.25">
      <c r="A932" s="463"/>
      <c r="B932" s="774" t="s">
        <v>994</v>
      </c>
      <c r="C932" s="712"/>
      <c r="D932" s="712"/>
      <c r="E932" s="775"/>
      <c r="F932" s="775"/>
      <c r="G932" s="775"/>
      <c r="H932" s="775"/>
    </row>
    <row r="933" spans="1:8" ht="21" customHeight="1" x14ac:dyDescent="0.25">
      <c r="A933" s="463"/>
      <c r="B933" s="436" t="s">
        <v>1833</v>
      </c>
      <c r="C933" s="745" t="s">
        <v>92</v>
      </c>
      <c r="D933" s="746" t="s">
        <v>221</v>
      </c>
      <c r="E933" s="785">
        <v>70560</v>
      </c>
      <c r="F933" s="747" t="s">
        <v>1048</v>
      </c>
      <c r="G933" s="462">
        <v>3000000</v>
      </c>
      <c r="H933" s="462">
        <v>3000000</v>
      </c>
    </row>
    <row r="934" spans="1:8" ht="30" customHeight="1" x14ac:dyDescent="0.25">
      <c r="A934" s="463"/>
      <c r="B934" s="774" t="s">
        <v>993</v>
      </c>
      <c r="C934" s="712"/>
      <c r="D934" s="712"/>
      <c r="E934" s="775"/>
      <c r="F934" s="775"/>
      <c r="G934" s="775"/>
      <c r="H934" s="775"/>
    </row>
    <row r="935" spans="1:8" ht="21" customHeight="1" x14ac:dyDescent="0.25">
      <c r="A935" s="463"/>
      <c r="B935" s="436" t="s">
        <v>1834</v>
      </c>
      <c r="C935" s="749"/>
      <c r="D935" s="853"/>
      <c r="E935" s="874"/>
      <c r="F935" s="874"/>
      <c r="G935" s="462">
        <v>150000000</v>
      </c>
      <c r="H935" s="462">
        <v>150000000</v>
      </c>
    </row>
    <row r="936" spans="1:8" ht="21" customHeight="1" x14ac:dyDescent="0.25">
      <c r="A936" s="463"/>
      <c r="B936" s="436" t="s">
        <v>1835</v>
      </c>
      <c r="C936" s="745" t="s">
        <v>92</v>
      </c>
      <c r="D936" s="746" t="s">
        <v>1836</v>
      </c>
      <c r="E936" s="785">
        <v>70510</v>
      </c>
      <c r="F936" s="747" t="s">
        <v>1048</v>
      </c>
      <c r="G936" s="462">
        <v>8400000</v>
      </c>
      <c r="H936" s="462">
        <v>8400000</v>
      </c>
    </row>
    <row r="937" spans="1:8" ht="21" customHeight="1" x14ac:dyDescent="0.25">
      <c r="A937" s="463"/>
      <c r="B937" s="870" t="s">
        <v>449</v>
      </c>
      <c r="C937" s="705"/>
      <c r="D937" s="705"/>
      <c r="E937" s="870"/>
      <c r="F937" s="870"/>
      <c r="G937" s="473">
        <f>SUM(G935:G936)</f>
        <v>158400000</v>
      </c>
      <c r="H937" s="473">
        <f>SUM(H935:H936)</f>
        <v>158400000</v>
      </c>
    </row>
    <row r="938" spans="1:8" ht="70.5" customHeight="1" x14ac:dyDescent="0.25">
      <c r="A938" s="756"/>
      <c r="B938" s="467">
        <v>84</v>
      </c>
      <c r="C938" s="720"/>
      <c r="D938" s="720"/>
      <c r="E938" s="756"/>
      <c r="F938" s="756"/>
      <c r="G938" s="815"/>
      <c r="H938" s="815"/>
    </row>
    <row r="939" spans="1:8" ht="21" customHeight="1" x14ac:dyDescent="0.25">
      <c r="A939" s="463"/>
      <c r="B939" s="752" t="s">
        <v>995</v>
      </c>
      <c r="C939" s="712"/>
      <c r="D939" s="712"/>
      <c r="E939" s="753"/>
      <c r="F939" s="753"/>
      <c r="G939" s="753"/>
      <c r="H939" s="463"/>
    </row>
    <row r="940" spans="1:8" ht="21" customHeight="1" x14ac:dyDescent="0.25">
      <c r="A940" s="463"/>
      <c r="B940" s="430" t="s">
        <v>1837</v>
      </c>
      <c r="C940" s="711" t="s">
        <v>92</v>
      </c>
      <c r="D940" s="712" t="s">
        <v>150</v>
      </c>
      <c r="E940" s="783" t="s">
        <v>1838</v>
      </c>
      <c r="F940" s="711" t="s">
        <v>1760</v>
      </c>
      <c r="G940" s="462">
        <v>75000000</v>
      </c>
      <c r="H940" s="462">
        <v>75000000</v>
      </c>
    </row>
    <row r="941" spans="1:8" ht="21" customHeight="1" x14ac:dyDescent="0.25">
      <c r="A941" s="463"/>
      <c r="B941" s="447" t="s">
        <v>1839</v>
      </c>
      <c r="C941" s="711" t="s">
        <v>92</v>
      </c>
      <c r="D941" s="712" t="s">
        <v>150</v>
      </c>
      <c r="E941" s="783" t="s">
        <v>1838</v>
      </c>
      <c r="F941" s="711" t="s">
        <v>1760</v>
      </c>
      <c r="G941" s="462">
        <v>275000000</v>
      </c>
      <c r="H941" s="462">
        <v>275000000</v>
      </c>
    </row>
    <row r="942" spans="1:8" ht="21" customHeight="1" x14ac:dyDescent="0.25">
      <c r="A942" s="463"/>
      <c r="B942" s="430" t="s">
        <v>1840</v>
      </c>
      <c r="C942" s="711" t="s">
        <v>92</v>
      </c>
      <c r="D942" s="712" t="s">
        <v>150</v>
      </c>
      <c r="E942" s="783" t="s">
        <v>1838</v>
      </c>
      <c r="F942" s="711" t="s">
        <v>1760</v>
      </c>
      <c r="G942" s="462">
        <v>7000000</v>
      </c>
      <c r="H942" s="462">
        <v>7000000</v>
      </c>
    </row>
    <row r="943" spans="1:8" ht="21" customHeight="1" x14ac:dyDescent="0.25">
      <c r="A943" s="463"/>
      <c r="B943" s="447" t="s">
        <v>1841</v>
      </c>
      <c r="C943" s="711" t="s">
        <v>92</v>
      </c>
      <c r="D943" s="712" t="s">
        <v>150</v>
      </c>
      <c r="E943" s="783" t="s">
        <v>1838</v>
      </c>
      <c r="F943" s="711" t="s">
        <v>1760</v>
      </c>
      <c r="G943" s="462">
        <v>4000000</v>
      </c>
      <c r="H943" s="462">
        <v>4000000</v>
      </c>
    </row>
    <row r="944" spans="1:8" ht="21" customHeight="1" x14ac:dyDescent="0.25">
      <c r="A944" s="463"/>
      <c r="B944" s="447" t="s">
        <v>1842</v>
      </c>
      <c r="C944" s="711" t="s">
        <v>92</v>
      </c>
      <c r="D944" s="712" t="s">
        <v>150</v>
      </c>
      <c r="E944" s="783" t="s">
        <v>1838</v>
      </c>
      <c r="F944" s="711" t="s">
        <v>1760</v>
      </c>
      <c r="G944" s="462">
        <v>90000000</v>
      </c>
      <c r="H944" s="462">
        <v>90000000</v>
      </c>
    </row>
    <row r="945" spans="1:8" ht="21" customHeight="1" x14ac:dyDescent="0.25">
      <c r="A945" s="463"/>
      <c r="B945" s="447" t="s">
        <v>1843</v>
      </c>
      <c r="C945" s="711" t="s">
        <v>92</v>
      </c>
      <c r="D945" s="712" t="s">
        <v>150</v>
      </c>
      <c r="E945" s="783" t="s">
        <v>1838</v>
      </c>
      <c r="F945" s="711" t="s">
        <v>1760</v>
      </c>
      <c r="G945" s="462">
        <v>50000000</v>
      </c>
      <c r="H945" s="462">
        <v>50000000</v>
      </c>
    </row>
    <row r="946" spans="1:8" ht="21" customHeight="1" x14ac:dyDescent="0.25">
      <c r="A946" s="463"/>
      <c r="B946" s="447" t="s">
        <v>1844</v>
      </c>
      <c r="C946" s="711" t="s">
        <v>92</v>
      </c>
      <c r="D946" s="712" t="s">
        <v>150</v>
      </c>
      <c r="E946" s="783" t="s">
        <v>1838</v>
      </c>
      <c r="F946" s="711" t="s">
        <v>1760</v>
      </c>
      <c r="G946" s="462">
        <v>15000000</v>
      </c>
      <c r="H946" s="462">
        <v>15000000</v>
      </c>
    </row>
    <row r="947" spans="1:8" ht="21" customHeight="1" x14ac:dyDescent="0.25">
      <c r="A947" s="463"/>
      <c r="B947" s="447" t="s">
        <v>1845</v>
      </c>
      <c r="C947" s="711" t="s">
        <v>92</v>
      </c>
      <c r="D947" s="712" t="s">
        <v>150</v>
      </c>
      <c r="E947" s="783" t="s">
        <v>1838</v>
      </c>
      <c r="F947" s="711" t="s">
        <v>1760</v>
      </c>
      <c r="G947" s="462">
        <v>10000000</v>
      </c>
      <c r="H947" s="462">
        <v>10000000</v>
      </c>
    </row>
    <row r="948" spans="1:8" ht="21" customHeight="1" x14ac:dyDescent="0.25">
      <c r="A948" s="463"/>
      <c r="B948" s="430" t="s">
        <v>1846</v>
      </c>
      <c r="C948" s="711" t="s">
        <v>92</v>
      </c>
      <c r="D948" s="712" t="s">
        <v>150</v>
      </c>
      <c r="E948" s="783" t="s">
        <v>1838</v>
      </c>
      <c r="F948" s="711" t="s">
        <v>1760</v>
      </c>
      <c r="G948" s="462">
        <v>100000000</v>
      </c>
      <c r="H948" s="462">
        <v>100000000</v>
      </c>
    </row>
    <row r="949" spans="1:8" ht="21" customHeight="1" x14ac:dyDescent="0.25">
      <c r="A949" s="463"/>
      <c r="B949" s="430" t="s">
        <v>1847</v>
      </c>
      <c r="C949" s="711" t="s">
        <v>92</v>
      </c>
      <c r="D949" s="712" t="s">
        <v>150</v>
      </c>
      <c r="E949" s="783" t="s">
        <v>1838</v>
      </c>
      <c r="F949" s="711" t="s">
        <v>1760</v>
      </c>
      <c r="G949" s="462">
        <v>4000000</v>
      </c>
      <c r="H949" s="462">
        <v>4000000</v>
      </c>
    </row>
    <row r="950" spans="1:8" ht="21" customHeight="1" x14ac:dyDescent="0.25">
      <c r="A950" s="463"/>
      <c r="B950" s="430" t="s">
        <v>1848</v>
      </c>
      <c r="C950" s="711" t="s">
        <v>92</v>
      </c>
      <c r="D950" s="712" t="s">
        <v>150</v>
      </c>
      <c r="E950" s="783" t="s">
        <v>1838</v>
      </c>
      <c r="F950" s="711" t="s">
        <v>1059</v>
      </c>
      <c r="G950" s="462">
        <v>2000000</v>
      </c>
      <c r="H950" s="462">
        <v>2000000</v>
      </c>
    </row>
    <row r="951" spans="1:8" ht="21" customHeight="1" x14ac:dyDescent="0.25">
      <c r="A951" s="463"/>
      <c r="B951" s="447" t="s">
        <v>1849</v>
      </c>
      <c r="C951" s="711" t="s">
        <v>92</v>
      </c>
      <c r="D951" s="712" t="s">
        <v>150</v>
      </c>
      <c r="E951" s="783" t="s">
        <v>1838</v>
      </c>
      <c r="F951" s="711" t="s">
        <v>1760</v>
      </c>
      <c r="G951" s="462">
        <v>70000000</v>
      </c>
      <c r="H951" s="462">
        <v>70000000</v>
      </c>
    </row>
    <row r="952" spans="1:8" ht="21" customHeight="1" x14ac:dyDescent="0.25">
      <c r="A952" s="463"/>
      <c r="B952" s="430" t="s">
        <v>1850</v>
      </c>
      <c r="C952" s="711" t="s">
        <v>92</v>
      </c>
      <c r="D952" s="712" t="s">
        <v>150</v>
      </c>
      <c r="E952" s="783" t="s">
        <v>1838</v>
      </c>
      <c r="F952" s="711" t="s">
        <v>1760</v>
      </c>
      <c r="G952" s="462">
        <v>10000000</v>
      </c>
      <c r="H952" s="462">
        <v>10000000</v>
      </c>
    </row>
    <row r="953" spans="1:8" ht="21" customHeight="1" x14ac:dyDescent="0.25">
      <c r="A953" s="463"/>
      <c r="B953" s="430" t="s">
        <v>1851</v>
      </c>
      <c r="C953" s="711" t="s">
        <v>92</v>
      </c>
      <c r="D953" s="712" t="s">
        <v>150</v>
      </c>
      <c r="E953" s="783" t="s">
        <v>1838</v>
      </c>
      <c r="F953" s="711" t="s">
        <v>1059</v>
      </c>
      <c r="G953" s="462">
        <v>2000000</v>
      </c>
      <c r="H953" s="462">
        <v>2000000</v>
      </c>
    </row>
    <row r="954" spans="1:8" ht="21" customHeight="1" x14ac:dyDescent="0.25">
      <c r="A954" s="463"/>
      <c r="B954" s="447" t="s">
        <v>1852</v>
      </c>
      <c r="C954" s="711" t="s">
        <v>92</v>
      </c>
      <c r="D954" s="712" t="s">
        <v>150</v>
      </c>
      <c r="E954" s="783" t="s">
        <v>1838</v>
      </c>
      <c r="F954" s="711" t="s">
        <v>1760</v>
      </c>
      <c r="G954" s="462">
        <v>10000000</v>
      </c>
      <c r="H954" s="462">
        <v>10000000</v>
      </c>
    </row>
    <row r="955" spans="1:8" ht="21" customHeight="1" x14ac:dyDescent="0.25">
      <c r="A955" s="463"/>
      <c r="B955" s="447" t="s">
        <v>1853</v>
      </c>
      <c r="C955" s="711" t="s">
        <v>92</v>
      </c>
      <c r="D955" s="712" t="s">
        <v>150</v>
      </c>
      <c r="E955" s="783" t="s">
        <v>1838</v>
      </c>
      <c r="F955" s="711" t="s">
        <v>1760</v>
      </c>
      <c r="G955" s="462">
        <v>10000000</v>
      </c>
      <c r="H955" s="462">
        <v>10000000</v>
      </c>
    </row>
    <row r="956" spans="1:8" ht="21" customHeight="1" x14ac:dyDescent="0.25">
      <c r="A956" s="463"/>
      <c r="B956" s="447" t="s">
        <v>1854</v>
      </c>
      <c r="C956" s="711" t="s">
        <v>92</v>
      </c>
      <c r="D956" s="712" t="s">
        <v>150</v>
      </c>
      <c r="E956" s="783" t="s">
        <v>1838</v>
      </c>
      <c r="F956" s="711" t="s">
        <v>1760</v>
      </c>
      <c r="G956" s="462">
        <v>10000000</v>
      </c>
      <c r="H956" s="462">
        <v>10000000</v>
      </c>
    </row>
    <row r="957" spans="1:8" ht="21" customHeight="1" x14ac:dyDescent="0.25">
      <c r="A957" s="463"/>
      <c r="B957" s="430" t="s">
        <v>1855</v>
      </c>
      <c r="C957" s="711" t="s">
        <v>92</v>
      </c>
      <c r="D957" s="712" t="s">
        <v>150</v>
      </c>
      <c r="E957" s="783" t="s">
        <v>1838</v>
      </c>
      <c r="F957" s="711" t="s">
        <v>1760</v>
      </c>
      <c r="G957" s="462">
        <v>10000000</v>
      </c>
      <c r="H957" s="462">
        <v>10000000</v>
      </c>
    </row>
    <row r="958" spans="1:8" ht="21" customHeight="1" x14ac:dyDescent="0.25">
      <c r="A958" s="463"/>
      <c r="B958" s="447" t="s">
        <v>1856</v>
      </c>
      <c r="C958" s="711" t="s">
        <v>92</v>
      </c>
      <c r="D958" s="712" t="s">
        <v>150</v>
      </c>
      <c r="E958" s="783" t="s">
        <v>1838</v>
      </c>
      <c r="F958" s="711" t="s">
        <v>1760</v>
      </c>
      <c r="G958" s="462">
        <v>100000000</v>
      </c>
      <c r="H958" s="462">
        <v>100000000</v>
      </c>
    </row>
    <row r="959" spans="1:8" ht="21" customHeight="1" x14ac:dyDescent="0.25">
      <c r="A959" s="463"/>
      <c r="B959" s="870" t="s">
        <v>117</v>
      </c>
      <c r="C959" s="705"/>
      <c r="D959" s="705"/>
      <c r="E959" s="870"/>
      <c r="F959" s="870"/>
      <c r="G959" s="473">
        <f>SUM(G940:G958)</f>
        <v>854000000</v>
      </c>
      <c r="H959" s="473">
        <f>SUM(H940:H958)</f>
        <v>854000000</v>
      </c>
    </row>
    <row r="960" spans="1:8" ht="21" customHeight="1" x14ac:dyDescent="0.25">
      <c r="A960" s="463"/>
      <c r="B960" s="436" t="s">
        <v>1857</v>
      </c>
      <c r="C960" s="745" t="s">
        <v>92</v>
      </c>
      <c r="D960" s="746" t="s">
        <v>150</v>
      </c>
      <c r="E960" s="785" t="s">
        <v>1838</v>
      </c>
      <c r="F960" s="747" t="s">
        <v>1048</v>
      </c>
      <c r="G960" s="451">
        <v>9000000</v>
      </c>
      <c r="H960" s="451">
        <v>9000000</v>
      </c>
    </row>
    <row r="961" spans="1:8" ht="21" customHeight="1" x14ac:dyDescent="0.25">
      <c r="A961" s="463"/>
      <c r="B961" s="870" t="s">
        <v>1858</v>
      </c>
      <c r="C961" s="705"/>
      <c r="D961" s="705"/>
      <c r="E961" s="870"/>
      <c r="F961" s="870"/>
      <c r="G961" s="473">
        <f>SUM(G959:G960)</f>
        <v>863000000</v>
      </c>
      <c r="H961" s="473">
        <f>SUM(H959:H960)</f>
        <v>863000000</v>
      </c>
    </row>
    <row r="962" spans="1:8" ht="43.5" customHeight="1" x14ac:dyDescent="0.25">
      <c r="A962" s="756"/>
      <c r="B962" s="467">
        <v>85</v>
      </c>
      <c r="C962" s="806"/>
      <c r="D962" s="806"/>
      <c r="E962" s="474"/>
      <c r="F962" s="474"/>
      <c r="G962" s="800"/>
      <c r="H962" s="800"/>
    </row>
    <row r="963" spans="1:8" ht="18.75" customHeight="1" x14ac:dyDescent="0.25">
      <c r="A963" s="463"/>
      <c r="B963" s="752" t="s">
        <v>996</v>
      </c>
      <c r="C963" s="712"/>
      <c r="D963" s="712"/>
      <c r="E963" s="753"/>
      <c r="F963" s="753"/>
      <c r="G963" s="753"/>
      <c r="H963" s="463"/>
    </row>
    <row r="964" spans="1:8" ht="18" customHeight="1" x14ac:dyDescent="0.25">
      <c r="A964" s="463"/>
      <c r="B964" s="430" t="s">
        <v>1859</v>
      </c>
      <c r="C964" s="711" t="s">
        <v>92</v>
      </c>
      <c r="D964" s="712" t="s">
        <v>218</v>
      </c>
      <c r="E964" s="783">
        <v>70912</v>
      </c>
      <c r="F964" s="711" t="s">
        <v>1760</v>
      </c>
      <c r="G964" s="462">
        <v>25000000</v>
      </c>
      <c r="H964" s="462">
        <v>25000000</v>
      </c>
    </row>
    <row r="965" spans="1:8" ht="18" customHeight="1" x14ac:dyDescent="0.25">
      <c r="A965" s="463"/>
      <c r="B965" s="447" t="s">
        <v>1860</v>
      </c>
      <c r="C965" s="711" t="s">
        <v>92</v>
      </c>
      <c r="D965" s="712" t="s">
        <v>218</v>
      </c>
      <c r="E965" s="783">
        <v>70912</v>
      </c>
      <c r="F965" s="711" t="s">
        <v>1861</v>
      </c>
      <c r="G965" s="462">
        <v>60500000</v>
      </c>
      <c r="H965" s="462">
        <v>60500000</v>
      </c>
    </row>
    <row r="966" spans="1:8" ht="18" customHeight="1" x14ac:dyDescent="0.25">
      <c r="A966" s="463"/>
      <c r="B966" s="447" t="s">
        <v>1862</v>
      </c>
      <c r="C966" s="711" t="s">
        <v>92</v>
      </c>
      <c r="D966" s="712" t="s">
        <v>218</v>
      </c>
      <c r="E966" s="783">
        <v>70912</v>
      </c>
      <c r="F966" s="711" t="s">
        <v>1861</v>
      </c>
      <c r="G966" s="462">
        <v>8800000</v>
      </c>
      <c r="H966" s="462">
        <v>8800000</v>
      </c>
    </row>
    <row r="967" spans="1:8" ht="18" customHeight="1" x14ac:dyDescent="0.25">
      <c r="A967" s="463"/>
      <c r="B967" s="447" t="s">
        <v>1863</v>
      </c>
      <c r="C967" s="711" t="s">
        <v>92</v>
      </c>
      <c r="D967" s="712" t="s">
        <v>218</v>
      </c>
      <c r="E967" s="783">
        <v>70912</v>
      </c>
      <c r="F967" s="711" t="s">
        <v>1864</v>
      </c>
      <c r="G967" s="462">
        <v>75000000</v>
      </c>
      <c r="H967" s="462">
        <v>75000000</v>
      </c>
    </row>
    <row r="968" spans="1:8" ht="18" customHeight="1" x14ac:dyDescent="0.25">
      <c r="A968" s="463"/>
      <c r="B968" s="430" t="s">
        <v>1865</v>
      </c>
      <c r="C968" s="711" t="s">
        <v>92</v>
      </c>
      <c r="D968" s="712" t="s">
        <v>218</v>
      </c>
      <c r="E968" s="783">
        <v>70912</v>
      </c>
      <c r="F968" s="711" t="s">
        <v>1864</v>
      </c>
      <c r="G968" s="462">
        <v>90000000</v>
      </c>
      <c r="H968" s="462">
        <v>90000000</v>
      </c>
    </row>
    <row r="969" spans="1:8" ht="18" customHeight="1" x14ac:dyDescent="0.25">
      <c r="A969" s="463"/>
      <c r="B969" s="430" t="s">
        <v>1866</v>
      </c>
      <c r="C969" s="711" t="s">
        <v>92</v>
      </c>
      <c r="D969" s="712" t="s">
        <v>218</v>
      </c>
      <c r="E969" s="783">
        <v>70912</v>
      </c>
      <c r="F969" s="711" t="s">
        <v>1864</v>
      </c>
      <c r="G969" s="462">
        <v>90000000</v>
      </c>
      <c r="H969" s="462">
        <v>90000000</v>
      </c>
    </row>
    <row r="970" spans="1:8" ht="32.25" customHeight="1" x14ac:dyDescent="0.25">
      <c r="A970" s="463"/>
      <c r="B970" s="430" t="s">
        <v>1867</v>
      </c>
      <c r="C970" s="711" t="s">
        <v>92</v>
      </c>
      <c r="D970" s="712" t="s">
        <v>218</v>
      </c>
      <c r="E970" s="783">
        <v>70912</v>
      </c>
      <c r="F970" s="711" t="s">
        <v>1868</v>
      </c>
      <c r="G970" s="462">
        <v>200000000</v>
      </c>
      <c r="H970" s="462">
        <v>1000000</v>
      </c>
    </row>
    <row r="971" spans="1:8" ht="18" customHeight="1" x14ac:dyDescent="0.25">
      <c r="A971" s="463"/>
      <c r="B971" s="447" t="s">
        <v>1869</v>
      </c>
      <c r="C971" s="711" t="s">
        <v>92</v>
      </c>
      <c r="D971" s="712" t="s">
        <v>218</v>
      </c>
      <c r="E971" s="783">
        <v>70912</v>
      </c>
      <c r="F971" s="711" t="s">
        <v>1794</v>
      </c>
      <c r="G971" s="462">
        <v>3000000</v>
      </c>
      <c r="H971" s="462">
        <v>20000000</v>
      </c>
    </row>
    <row r="972" spans="1:8" ht="18" customHeight="1" x14ac:dyDescent="0.25">
      <c r="A972" s="463"/>
      <c r="B972" s="447" t="s">
        <v>1870</v>
      </c>
      <c r="C972" s="711" t="s">
        <v>92</v>
      </c>
      <c r="D972" s="712" t="s">
        <v>218</v>
      </c>
      <c r="E972" s="783">
        <v>70912</v>
      </c>
      <c r="F972" s="711" t="s">
        <v>1871</v>
      </c>
      <c r="G972" s="462">
        <v>7499976</v>
      </c>
      <c r="H972" s="462">
        <v>7499976</v>
      </c>
    </row>
    <row r="973" spans="1:8" ht="18" customHeight="1" x14ac:dyDescent="0.25">
      <c r="A973" s="463"/>
      <c r="B973" s="430" t="s">
        <v>1872</v>
      </c>
      <c r="C973" s="711" t="s">
        <v>92</v>
      </c>
      <c r="D973" s="712" t="s">
        <v>218</v>
      </c>
      <c r="E973" s="783">
        <v>70912</v>
      </c>
      <c r="F973" s="711" t="s">
        <v>1873</v>
      </c>
      <c r="G973" s="462">
        <v>6000000</v>
      </c>
      <c r="H973" s="462">
        <v>6000000</v>
      </c>
    </row>
    <row r="974" spans="1:8" ht="18" customHeight="1" x14ac:dyDescent="0.25">
      <c r="A974" s="463"/>
      <c r="B974" s="430" t="s">
        <v>1874</v>
      </c>
      <c r="C974" s="711" t="s">
        <v>92</v>
      </c>
      <c r="D974" s="712" t="s">
        <v>218</v>
      </c>
      <c r="E974" s="783">
        <v>70912</v>
      </c>
      <c r="F974" s="711" t="s">
        <v>1059</v>
      </c>
      <c r="G974" s="462">
        <v>3000000</v>
      </c>
      <c r="H974" s="462">
        <v>3000000</v>
      </c>
    </row>
    <row r="975" spans="1:8" ht="18" customHeight="1" x14ac:dyDescent="0.25">
      <c r="A975" s="463"/>
      <c r="B975" s="447" t="s">
        <v>1875</v>
      </c>
      <c r="C975" s="711" t="s">
        <v>92</v>
      </c>
      <c r="D975" s="712" t="s">
        <v>218</v>
      </c>
      <c r="E975" s="783">
        <v>70912</v>
      </c>
      <c r="F975" s="713" t="s">
        <v>1048</v>
      </c>
      <c r="G975" s="462">
        <v>3650000</v>
      </c>
      <c r="H975" s="462">
        <v>3650000</v>
      </c>
    </row>
    <row r="976" spans="1:8" ht="18" customHeight="1" x14ac:dyDescent="0.25">
      <c r="A976" s="463"/>
      <c r="B976" s="430" t="s">
        <v>1876</v>
      </c>
      <c r="C976" s="711" t="s">
        <v>92</v>
      </c>
      <c r="D976" s="712" t="s">
        <v>218</v>
      </c>
      <c r="E976" s="783">
        <v>70912</v>
      </c>
      <c r="F976" s="711" t="s">
        <v>1877</v>
      </c>
      <c r="G976" s="462">
        <v>20000000</v>
      </c>
      <c r="H976" s="462">
        <v>20000000</v>
      </c>
    </row>
    <row r="977" spans="1:8" ht="18" customHeight="1" x14ac:dyDescent="0.25">
      <c r="A977" s="463"/>
      <c r="B977" s="430" t="s">
        <v>1878</v>
      </c>
      <c r="C977" s="711" t="s">
        <v>92</v>
      </c>
      <c r="D977" s="712" t="s">
        <v>218</v>
      </c>
      <c r="E977" s="783">
        <v>70912</v>
      </c>
      <c r="F977" s="711" t="s">
        <v>1864</v>
      </c>
      <c r="G977" s="462">
        <v>163700000</v>
      </c>
      <c r="H977" s="462">
        <v>163700000</v>
      </c>
    </row>
    <row r="978" spans="1:8" ht="18" customHeight="1" x14ac:dyDescent="0.25">
      <c r="A978" s="463"/>
      <c r="B978" s="430" t="s">
        <v>1879</v>
      </c>
      <c r="C978" s="711" t="s">
        <v>92</v>
      </c>
      <c r="D978" s="712" t="s">
        <v>218</v>
      </c>
      <c r="E978" s="783">
        <v>70912</v>
      </c>
      <c r="F978" s="711" t="s">
        <v>1880</v>
      </c>
      <c r="G978" s="462">
        <v>60000000</v>
      </c>
      <c r="H978" s="462">
        <v>80000000</v>
      </c>
    </row>
    <row r="979" spans="1:8" ht="18" customHeight="1" x14ac:dyDescent="0.25">
      <c r="A979" s="463"/>
      <c r="B979" s="430" t="s">
        <v>1881</v>
      </c>
      <c r="C979" s="711" t="s">
        <v>92</v>
      </c>
      <c r="D979" s="712" t="s">
        <v>218</v>
      </c>
      <c r="E979" s="783">
        <v>70912</v>
      </c>
      <c r="F979" s="711" t="s">
        <v>1882</v>
      </c>
      <c r="G979" s="462">
        <v>100000000</v>
      </c>
      <c r="H979" s="462">
        <v>100000000</v>
      </c>
    </row>
    <row r="980" spans="1:8" ht="18" customHeight="1" x14ac:dyDescent="0.25">
      <c r="A980" s="463"/>
      <c r="B980" s="447" t="s">
        <v>1883</v>
      </c>
      <c r="C980" s="711" t="s">
        <v>92</v>
      </c>
      <c r="D980" s="712" t="s">
        <v>218</v>
      </c>
      <c r="E980" s="783">
        <v>70912</v>
      </c>
      <c r="F980" s="711" t="s">
        <v>1760</v>
      </c>
      <c r="G980" s="462">
        <v>250000000</v>
      </c>
      <c r="H980" s="462">
        <v>250000000</v>
      </c>
    </row>
    <row r="981" spans="1:8" ht="18" customHeight="1" x14ac:dyDescent="0.25">
      <c r="A981" s="463"/>
      <c r="B981" s="430" t="s">
        <v>1884</v>
      </c>
      <c r="C981" s="711" t="s">
        <v>92</v>
      </c>
      <c r="D981" s="712" t="s">
        <v>218</v>
      </c>
      <c r="E981" s="783">
        <v>70912</v>
      </c>
      <c r="F981" s="711" t="s">
        <v>1885</v>
      </c>
      <c r="G981" s="462">
        <v>5000000</v>
      </c>
      <c r="H981" s="462">
        <v>5000000</v>
      </c>
    </row>
    <row r="982" spans="1:8" ht="18" customHeight="1" x14ac:dyDescent="0.25">
      <c r="A982" s="463"/>
      <c r="B982" s="430" t="s">
        <v>1886</v>
      </c>
      <c r="C982" s="711" t="s">
        <v>92</v>
      </c>
      <c r="D982" s="712" t="s">
        <v>218</v>
      </c>
      <c r="E982" s="783">
        <v>70912</v>
      </c>
      <c r="F982" s="711" t="s">
        <v>1885</v>
      </c>
      <c r="G982" s="462">
        <v>3000000</v>
      </c>
      <c r="H982" s="462">
        <v>3000000</v>
      </c>
    </row>
    <row r="983" spans="1:8" ht="18" customHeight="1" x14ac:dyDescent="0.25">
      <c r="A983" s="463"/>
      <c r="B983" s="430" t="s">
        <v>1887</v>
      </c>
      <c r="C983" s="711" t="s">
        <v>92</v>
      </c>
      <c r="D983" s="712" t="s">
        <v>218</v>
      </c>
      <c r="E983" s="783">
        <v>70912</v>
      </c>
      <c r="F983" s="711" t="s">
        <v>1888</v>
      </c>
      <c r="G983" s="462">
        <v>1000000</v>
      </c>
      <c r="H983" s="462">
        <v>1000000</v>
      </c>
    </row>
    <row r="984" spans="1:8" ht="18" customHeight="1" x14ac:dyDescent="0.25">
      <c r="A984" s="463"/>
      <c r="B984" s="430" t="s">
        <v>1889</v>
      </c>
      <c r="C984" s="711" t="s">
        <v>92</v>
      </c>
      <c r="D984" s="712" t="s">
        <v>218</v>
      </c>
      <c r="E984" s="783">
        <v>70912</v>
      </c>
      <c r="F984" s="711" t="s">
        <v>1890</v>
      </c>
      <c r="G984" s="462">
        <v>2000000</v>
      </c>
      <c r="H984" s="462">
        <v>2000000</v>
      </c>
    </row>
    <row r="985" spans="1:8" ht="18" customHeight="1" x14ac:dyDescent="0.25">
      <c r="A985" s="463"/>
      <c r="B985" s="430" t="s">
        <v>1891</v>
      </c>
      <c r="C985" s="711" t="s">
        <v>92</v>
      </c>
      <c r="D985" s="712" t="s">
        <v>218</v>
      </c>
      <c r="E985" s="783">
        <v>70912</v>
      </c>
      <c r="F985" s="713" t="s">
        <v>1048</v>
      </c>
      <c r="G985" s="462">
        <v>5000000</v>
      </c>
      <c r="H985" s="462">
        <v>5000000</v>
      </c>
    </row>
    <row r="986" spans="1:8" ht="18" customHeight="1" x14ac:dyDescent="0.25">
      <c r="A986" s="463"/>
      <c r="B986" s="430" t="s">
        <v>1892</v>
      </c>
      <c r="C986" s="711" t="s">
        <v>92</v>
      </c>
      <c r="D986" s="712" t="s">
        <v>218</v>
      </c>
      <c r="E986" s="783">
        <v>70912</v>
      </c>
      <c r="F986" s="711" t="s">
        <v>1877</v>
      </c>
      <c r="G986" s="462">
        <v>35000000</v>
      </c>
      <c r="H986" s="462">
        <v>35000000</v>
      </c>
    </row>
    <row r="987" spans="1:8" ht="18" customHeight="1" x14ac:dyDescent="0.25">
      <c r="A987" s="463"/>
      <c r="B987" s="430" t="s">
        <v>1040</v>
      </c>
      <c r="C987" s="711" t="s">
        <v>92</v>
      </c>
      <c r="D987" s="712" t="s">
        <v>218</v>
      </c>
      <c r="E987" s="783">
        <v>70912</v>
      </c>
      <c r="F987" s="711" t="s">
        <v>1893</v>
      </c>
      <c r="G987" s="462">
        <v>3000000000</v>
      </c>
      <c r="H987" s="462">
        <v>3000000000</v>
      </c>
    </row>
    <row r="988" spans="1:8" ht="64.5" customHeight="1" x14ac:dyDescent="0.25">
      <c r="A988" s="756"/>
      <c r="B988" s="449">
        <v>86</v>
      </c>
      <c r="C988" s="722"/>
      <c r="D988" s="720"/>
      <c r="E988" s="799"/>
      <c r="F988" s="722"/>
      <c r="G988" s="759"/>
      <c r="H988" s="759"/>
    </row>
    <row r="989" spans="1:8" ht="18" customHeight="1" x14ac:dyDescent="0.25">
      <c r="A989" s="463"/>
      <c r="B989" s="871" t="s">
        <v>1894</v>
      </c>
      <c r="C989" s="711"/>
      <c r="D989" s="712"/>
      <c r="E989" s="783"/>
      <c r="F989" s="711"/>
      <c r="G989" s="462"/>
      <c r="H989" s="462"/>
    </row>
    <row r="990" spans="1:8" ht="18" customHeight="1" x14ac:dyDescent="0.25">
      <c r="A990" s="463"/>
      <c r="B990" s="430" t="s">
        <v>1895</v>
      </c>
      <c r="C990" s="711" t="s">
        <v>92</v>
      </c>
      <c r="D990" s="712" t="s">
        <v>218</v>
      </c>
      <c r="E990" s="783"/>
      <c r="F990" s="711"/>
      <c r="G990" s="462"/>
      <c r="H990" s="462">
        <v>25000000</v>
      </c>
    </row>
    <row r="991" spans="1:8" ht="18" customHeight="1" x14ac:dyDescent="0.25">
      <c r="A991" s="463"/>
      <c r="B991" s="430" t="s">
        <v>1896</v>
      </c>
      <c r="C991" s="711" t="s">
        <v>92</v>
      </c>
      <c r="D991" s="712" t="s">
        <v>218</v>
      </c>
      <c r="E991" s="783"/>
      <c r="F991" s="711"/>
      <c r="G991" s="462"/>
      <c r="H991" s="462">
        <v>75000000</v>
      </c>
    </row>
    <row r="992" spans="1:8" ht="18" customHeight="1" x14ac:dyDescent="0.25">
      <c r="A992" s="463"/>
      <c r="B992" s="430" t="s">
        <v>1897</v>
      </c>
      <c r="C992" s="711" t="s">
        <v>92</v>
      </c>
      <c r="D992" s="712" t="s">
        <v>218</v>
      </c>
      <c r="E992" s="783"/>
      <c r="F992" s="711"/>
      <c r="G992" s="462"/>
      <c r="H992" s="462">
        <v>2000000</v>
      </c>
    </row>
    <row r="993" spans="1:10" ht="18" customHeight="1" x14ac:dyDescent="0.25">
      <c r="A993" s="463"/>
      <c r="B993" s="430" t="s">
        <v>1898</v>
      </c>
      <c r="C993" s="711" t="s">
        <v>92</v>
      </c>
      <c r="D993" s="712" t="s">
        <v>218</v>
      </c>
      <c r="E993" s="783"/>
      <c r="F993" s="711"/>
      <c r="G993" s="462"/>
      <c r="H993" s="462">
        <v>35000000</v>
      </c>
    </row>
    <row r="994" spans="1:10" ht="18" customHeight="1" x14ac:dyDescent="0.25">
      <c r="A994" s="463"/>
      <c r="B994" s="430" t="s">
        <v>1899</v>
      </c>
      <c r="C994" s="711" t="s">
        <v>92</v>
      </c>
      <c r="D994" s="712" t="s">
        <v>218</v>
      </c>
      <c r="E994" s="783"/>
      <c r="F994" s="711"/>
      <c r="G994" s="462"/>
      <c r="H994" s="462">
        <v>5000000</v>
      </c>
    </row>
    <row r="995" spans="1:10" ht="18" customHeight="1" x14ac:dyDescent="0.25">
      <c r="A995" s="463"/>
      <c r="B995" s="430" t="s">
        <v>1900</v>
      </c>
      <c r="C995" s="711" t="s">
        <v>92</v>
      </c>
      <c r="D995" s="712" t="s">
        <v>218</v>
      </c>
      <c r="E995" s="783"/>
      <c r="F995" s="711"/>
      <c r="G995" s="462"/>
      <c r="H995" s="462">
        <v>15000000</v>
      </c>
    </row>
    <row r="996" spans="1:10" ht="18" customHeight="1" x14ac:dyDescent="0.25">
      <c r="A996" s="463"/>
      <c r="B996" s="430" t="s">
        <v>1901</v>
      </c>
      <c r="C996" s="711" t="s">
        <v>92</v>
      </c>
      <c r="D996" s="712" t="s">
        <v>218</v>
      </c>
      <c r="E996" s="783"/>
      <c r="F996" s="711"/>
      <c r="G996" s="462"/>
      <c r="H996" s="462">
        <v>5000000</v>
      </c>
    </row>
    <row r="997" spans="1:10" ht="18" customHeight="1" x14ac:dyDescent="0.25">
      <c r="A997" s="463"/>
      <c r="B997" s="870" t="s">
        <v>117</v>
      </c>
      <c r="C997" s="705"/>
      <c r="D997" s="705"/>
      <c r="E997" s="870"/>
      <c r="F997" s="870"/>
      <c r="G997" s="473">
        <f>SUM(G964:G987)</f>
        <v>4217149976</v>
      </c>
      <c r="H997" s="473">
        <f>SUM(H964:H996)</f>
        <v>4217149976</v>
      </c>
    </row>
    <row r="998" spans="1:10" s="433" customFormat="1" ht="18" customHeight="1" x14ac:dyDescent="0.25">
      <c r="A998" s="870"/>
      <c r="B998" s="870" t="s">
        <v>1676</v>
      </c>
      <c r="C998" s="705"/>
      <c r="D998" s="705"/>
      <c r="E998" s="870"/>
      <c r="F998" s="870"/>
      <c r="G998" s="473"/>
      <c r="H998" s="473"/>
      <c r="I998" s="432"/>
      <c r="J998" s="432"/>
    </row>
    <row r="999" spans="1:10" s="433" customFormat="1" ht="18" customHeight="1" x14ac:dyDescent="0.25">
      <c r="A999" s="870"/>
      <c r="B999" s="436" t="s">
        <v>1902</v>
      </c>
      <c r="C999" s="745" t="s">
        <v>92</v>
      </c>
      <c r="D999" s="746" t="s">
        <v>1903</v>
      </c>
      <c r="E999" s="785">
        <v>70912</v>
      </c>
      <c r="F999" s="747" t="s">
        <v>1048</v>
      </c>
      <c r="G999" s="451">
        <v>150000000</v>
      </c>
      <c r="H999" s="451">
        <v>150000000</v>
      </c>
      <c r="I999" s="432"/>
      <c r="J999" s="432"/>
    </row>
    <row r="1000" spans="1:10" s="455" customFormat="1" ht="18" customHeight="1" x14ac:dyDescent="0.25">
      <c r="A1000" s="763"/>
      <c r="B1000" s="436" t="s">
        <v>1904</v>
      </c>
      <c r="C1000" s="745" t="s">
        <v>92</v>
      </c>
      <c r="D1000" s="746" t="s">
        <v>218</v>
      </c>
      <c r="E1000" s="785">
        <v>70912</v>
      </c>
      <c r="F1000" s="747" t="s">
        <v>1048</v>
      </c>
      <c r="G1000" s="451">
        <v>13200000</v>
      </c>
      <c r="H1000" s="451">
        <v>13200000</v>
      </c>
      <c r="I1000" s="454"/>
      <c r="J1000" s="454"/>
    </row>
    <row r="1001" spans="1:10" s="455" customFormat="1" ht="18" customHeight="1" x14ac:dyDescent="0.25">
      <c r="A1001" s="763"/>
      <c r="B1001" s="436" t="s">
        <v>1905</v>
      </c>
      <c r="C1001" s="745" t="s">
        <v>92</v>
      </c>
      <c r="D1001" s="746" t="s">
        <v>1906</v>
      </c>
      <c r="E1001" s="785">
        <v>70912</v>
      </c>
      <c r="F1001" s="747" t="s">
        <v>1048</v>
      </c>
      <c r="G1001" s="451">
        <v>35550000</v>
      </c>
      <c r="H1001" s="451">
        <v>35550000</v>
      </c>
      <c r="I1001" s="454"/>
      <c r="J1001" s="454"/>
    </row>
    <row r="1002" spans="1:10" s="455" customFormat="1" ht="18" customHeight="1" x14ac:dyDescent="0.25">
      <c r="A1002" s="763"/>
      <c r="B1002" s="871" t="s">
        <v>117</v>
      </c>
      <c r="C1002" s="779"/>
      <c r="D1002" s="705"/>
      <c r="E1002" s="871"/>
      <c r="F1002" s="871"/>
      <c r="G1002" s="498">
        <f>SUM(G999:G1001)</f>
        <v>198750000</v>
      </c>
      <c r="H1002" s="473">
        <f>SUM(H999:H1001)</f>
        <v>198750000</v>
      </c>
      <c r="I1002" s="454"/>
      <c r="J1002" s="454"/>
    </row>
    <row r="1003" spans="1:10" s="433" customFormat="1" ht="18" customHeight="1" x14ac:dyDescent="0.25">
      <c r="A1003" s="870"/>
      <c r="B1003" s="871" t="s">
        <v>1907</v>
      </c>
      <c r="C1003" s="779"/>
      <c r="D1003" s="705"/>
      <c r="E1003" s="871"/>
      <c r="F1003" s="871"/>
      <c r="G1003" s="498">
        <f>G997+G1002</f>
        <v>4415899976</v>
      </c>
      <c r="H1003" s="498">
        <f>SUM(H997,H1002)</f>
        <v>4415899976</v>
      </c>
      <c r="I1003" s="488"/>
      <c r="J1003" s="432"/>
    </row>
    <row r="1004" spans="1:10" s="433" customFormat="1" ht="18.75" customHeight="1" x14ac:dyDescent="0.25">
      <c r="A1004" s="870"/>
      <c r="B1004" s="774" t="s">
        <v>1908</v>
      </c>
      <c r="C1004" s="773"/>
      <c r="D1004" s="773"/>
      <c r="E1004" s="792"/>
      <c r="F1004" s="792"/>
      <c r="G1004" s="792"/>
      <c r="H1004" s="792"/>
      <c r="I1004" s="432"/>
      <c r="J1004" s="432"/>
    </row>
    <row r="1005" spans="1:10" s="455" customFormat="1" ht="18" customHeight="1" x14ac:dyDescent="0.25">
      <c r="A1005" s="763"/>
      <c r="B1005" s="738" t="s">
        <v>1909</v>
      </c>
      <c r="C1005" s="745" t="s">
        <v>92</v>
      </c>
      <c r="D1005" s="746" t="s">
        <v>1910</v>
      </c>
      <c r="E1005" s="785">
        <v>70980</v>
      </c>
      <c r="F1005" s="747" t="s">
        <v>1048</v>
      </c>
      <c r="G1005" s="451">
        <v>6000000</v>
      </c>
      <c r="H1005" s="451">
        <v>6000000</v>
      </c>
      <c r="I1005" s="454"/>
      <c r="J1005" s="454"/>
    </row>
    <row r="1006" spans="1:10" s="455" customFormat="1" ht="18" customHeight="1" x14ac:dyDescent="0.25">
      <c r="A1006" s="763"/>
      <c r="B1006" s="854" t="s">
        <v>1911</v>
      </c>
      <c r="C1006" s="745" t="s">
        <v>92</v>
      </c>
      <c r="D1006" s="746" t="s">
        <v>1910</v>
      </c>
      <c r="E1006" s="785">
        <v>70980</v>
      </c>
      <c r="F1006" s="747" t="s">
        <v>1048</v>
      </c>
      <c r="G1006" s="451">
        <v>6300000</v>
      </c>
      <c r="H1006" s="451">
        <v>6300000</v>
      </c>
      <c r="I1006" s="454"/>
      <c r="J1006" s="454"/>
    </row>
    <row r="1007" spans="1:10" s="455" customFormat="1" ht="18" customHeight="1" x14ac:dyDescent="0.25">
      <c r="A1007" s="763"/>
      <c r="B1007" s="871" t="s">
        <v>449</v>
      </c>
      <c r="C1007" s="779"/>
      <c r="D1007" s="705"/>
      <c r="E1007" s="871"/>
      <c r="F1007" s="871"/>
      <c r="G1007" s="498">
        <f>SUM(G1005:G1006)</f>
        <v>12300000</v>
      </c>
      <c r="H1007" s="498">
        <f>SUM(H1005:H1006)</f>
        <v>12300000</v>
      </c>
      <c r="I1007" s="454"/>
      <c r="J1007" s="454"/>
    </row>
    <row r="1008" spans="1:10" s="433" customFormat="1" ht="18" customHeight="1" x14ac:dyDescent="0.25">
      <c r="A1008" s="870"/>
      <c r="B1008" s="774" t="s">
        <v>1912</v>
      </c>
      <c r="C1008" s="773"/>
      <c r="D1008" s="773"/>
      <c r="E1008" s="792"/>
      <c r="F1008" s="792"/>
      <c r="G1008" s="792"/>
      <c r="H1008" s="792"/>
      <c r="I1008" s="432"/>
      <c r="J1008" s="432"/>
    </row>
    <row r="1009" spans="1:10" s="455" customFormat="1" ht="18" customHeight="1" x14ac:dyDescent="0.25">
      <c r="A1009" s="763"/>
      <c r="B1009" s="854" t="s">
        <v>1913</v>
      </c>
      <c r="C1009" s="745" t="s">
        <v>92</v>
      </c>
      <c r="D1009" s="746" t="s">
        <v>1914</v>
      </c>
      <c r="E1009" s="785">
        <v>70980</v>
      </c>
      <c r="F1009" s="747" t="s">
        <v>1048</v>
      </c>
      <c r="G1009" s="462">
        <v>100000000</v>
      </c>
      <c r="H1009" s="462">
        <v>100000000</v>
      </c>
      <c r="I1009" s="454"/>
      <c r="J1009" s="454"/>
    </row>
    <row r="1010" spans="1:10" s="455" customFormat="1" ht="18" customHeight="1" x14ac:dyDescent="0.25">
      <c r="A1010" s="763"/>
      <c r="B1010" s="854" t="s">
        <v>1915</v>
      </c>
      <c r="C1010" s="745" t="s">
        <v>92</v>
      </c>
      <c r="D1010" s="746" t="s">
        <v>1914</v>
      </c>
      <c r="E1010" s="785">
        <v>70980</v>
      </c>
      <c r="F1010" s="747" t="s">
        <v>1048</v>
      </c>
      <c r="G1010" s="462">
        <v>33000000</v>
      </c>
      <c r="H1010" s="462">
        <v>33000000</v>
      </c>
      <c r="I1010" s="458"/>
      <c r="J1010" s="454"/>
    </row>
    <row r="1011" spans="1:10" s="455" customFormat="1" ht="18" customHeight="1" x14ac:dyDescent="0.25">
      <c r="A1011" s="763"/>
      <c r="B1011" s="871" t="s">
        <v>449</v>
      </c>
      <c r="C1011" s="779"/>
      <c r="D1011" s="705"/>
      <c r="E1011" s="871"/>
      <c r="F1011" s="871"/>
      <c r="G1011" s="498">
        <f>SUM(G1009:G1010)</f>
        <v>133000000</v>
      </c>
      <c r="H1011" s="498">
        <f>SUM(H1009:H1010)</f>
        <v>133000000</v>
      </c>
      <c r="I1011" s="454"/>
      <c r="J1011" s="454"/>
    </row>
    <row r="1012" spans="1:10" s="433" customFormat="1" ht="18" customHeight="1" x14ac:dyDescent="0.25">
      <c r="A1012" s="870"/>
      <c r="B1012" s="774" t="s">
        <v>997</v>
      </c>
      <c r="C1012" s="773"/>
      <c r="D1012" s="773"/>
      <c r="E1012" s="792"/>
      <c r="F1012" s="792"/>
      <c r="G1012" s="792"/>
      <c r="H1012" s="792"/>
      <c r="I1012" s="432"/>
      <c r="J1012" s="432"/>
    </row>
    <row r="1013" spans="1:10" s="455" customFormat="1" ht="18" customHeight="1" x14ac:dyDescent="0.25">
      <c r="A1013" s="763"/>
      <c r="B1013" s="854" t="s">
        <v>1916</v>
      </c>
      <c r="C1013" s="745" t="s">
        <v>92</v>
      </c>
      <c r="D1013" s="746" t="s">
        <v>1917</v>
      </c>
      <c r="E1013" s="785" t="s">
        <v>1918</v>
      </c>
      <c r="F1013" s="747" t="s">
        <v>1048</v>
      </c>
      <c r="G1013" s="462">
        <v>50000000</v>
      </c>
      <c r="H1013" s="462">
        <v>50000000</v>
      </c>
      <c r="I1013" s="454"/>
      <c r="J1013" s="454"/>
    </row>
    <row r="1014" spans="1:10" s="455" customFormat="1" ht="18" customHeight="1" x14ac:dyDescent="0.25">
      <c r="A1014" s="763"/>
      <c r="B1014" s="854" t="s">
        <v>1919</v>
      </c>
      <c r="C1014" s="745" t="s">
        <v>92</v>
      </c>
      <c r="D1014" s="746" t="s">
        <v>1917</v>
      </c>
      <c r="E1014" s="785" t="s">
        <v>1918</v>
      </c>
      <c r="F1014" s="747" t="s">
        <v>1048</v>
      </c>
      <c r="G1014" s="462">
        <v>30000000</v>
      </c>
      <c r="H1014" s="462">
        <v>30000000</v>
      </c>
      <c r="I1014" s="454"/>
      <c r="J1014" s="454"/>
    </row>
    <row r="1015" spans="1:10" s="455" customFormat="1" ht="18" customHeight="1" x14ac:dyDescent="0.25">
      <c r="A1015" s="763"/>
      <c r="B1015" s="871" t="s">
        <v>449</v>
      </c>
      <c r="C1015" s="779"/>
      <c r="D1015" s="705"/>
      <c r="E1015" s="871"/>
      <c r="F1015" s="871"/>
      <c r="G1015" s="498">
        <f>SUM(G1013:G1014)</f>
        <v>80000000</v>
      </c>
      <c r="H1015" s="498">
        <f>SUM(H1013:H1014)</f>
        <v>80000000</v>
      </c>
      <c r="I1015" s="454"/>
      <c r="J1015" s="454"/>
    </row>
    <row r="1016" spans="1:10" s="433" customFormat="1" ht="18" customHeight="1" x14ac:dyDescent="0.25">
      <c r="A1016" s="870"/>
      <c r="B1016" s="774" t="s">
        <v>998</v>
      </c>
      <c r="C1016" s="773"/>
      <c r="D1016" s="773"/>
      <c r="E1016" s="792"/>
      <c r="F1016" s="792"/>
      <c r="G1016" s="792"/>
      <c r="H1016" s="792"/>
      <c r="I1016" s="432"/>
      <c r="J1016" s="432"/>
    </row>
    <row r="1017" spans="1:10" s="455" customFormat="1" ht="18" customHeight="1" x14ac:dyDescent="0.25">
      <c r="A1017" s="763"/>
      <c r="B1017" s="854" t="s">
        <v>1920</v>
      </c>
      <c r="C1017" s="745" t="s">
        <v>92</v>
      </c>
      <c r="D1017" s="746" t="s">
        <v>1903</v>
      </c>
      <c r="E1017" s="785" t="s">
        <v>650</v>
      </c>
      <c r="F1017" s="747" t="s">
        <v>1048</v>
      </c>
      <c r="G1017" s="462">
        <v>40000000</v>
      </c>
      <c r="H1017" s="462">
        <v>40000000</v>
      </c>
      <c r="I1017" s="454"/>
      <c r="J1017" s="454"/>
    </row>
    <row r="1018" spans="1:10" s="455" customFormat="1" ht="18" customHeight="1" x14ac:dyDescent="0.25">
      <c r="A1018" s="763"/>
      <c r="B1018" s="854" t="s">
        <v>1921</v>
      </c>
      <c r="C1018" s="745" t="s">
        <v>92</v>
      </c>
      <c r="D1018" s="746" t="s">
        <v>1903</v>
      </c>
      <c r="E1018" s="785" t="s">
        <v>650</v>
      </c>
      <c r="F1018" s="747" t="s">
        <v>1048</v>
      </c>
      <c r="G1018" s="462">
        <v>26400000</v>
      </c>
      <c r="H1018" s="462">
        <v>26400000</v>
      </c>
      <c r="I1018" s="454"/>
      <c r="J1018" s="454"/>
    </row>
    <row r="1019" spans="1:10" s="455" customFormat="1" ht="18" customHeight="1" x14ac:dyDescent="0.25">
      <c r="A1019" s="763"/>
      <c r="B1019" s="871" t="s">
        <v>449</v>
      </c>
      <c r="C1019" s="779"/>
      <c r="D1019" s="705"/>
      <c r="E1019" s="871"/>
      <c r="F1019" s="871"/>
      <c r="G1019" s="498">
        <f>SUM(G1017:G1018)</f>
        <v>66400000</v>
      </c>
      <c r="H1019" s="498">
        <f>SUM(H1017:H1018)</f>
        <v>66400000</v>
      </c>
      <c r="I1019" s="454"/>
      <c r="J1019" s="454"/>
    </row>
    <row r="1020" spans="1:10" s="455" customFormat="1" ht="63.75" customHeight="1" x14ac:dyDescent="0.25">
      <c r="A1020" s="781"/>
      <c r="B1020" s="449">
        <v>87</v>
      </c>
      <c r="C1020" s="855"/>
      <c r="D1020" s="806"/>
      <c r="E1020" s="445"/>
      <c r="F1020" s="445"/>
      <c r="G1020" s="782"/>
      <c r="H1020" s="782"/>
      <c r="I1020" s="454"/>
      <c r="J1020" s="454"/>
    </row>
    <row r="1021" spans="1:10" s="433" customFormat="1" ht="18" customHeight="1" x14ac:dyDescent="0.25">
      <c r="A1021" s="870"/>
      <c r="B1021" s="774" t="s">
        <v>1922</v>
      </c>
      <c r="C1021" s="773"/>
      <c r="D1021" s="773"/>
      <c r="E1021" s="775"/>
      <c r="F1021" s="775"/>
      <c r="G1021" s="775"/>
      <c r="H1021" s="775"/>
      <c r="I1021" s="432"/>
      <c r="J1021" s="432"/>
    </row>
    <row r="1022" spans="1:10" s="455" customFormat="1" ht="18" customHeight="1" x14ac:dyDescent="0.25">
      <c r="A1022" s="763"/>
      <c r="B1022" s="854" t="s">
        <v>1923</v>
      </c>
      <c r="C1022" s="745" t="s">
        <v>92</v>
      </c>
      <c r="D1022" s="746" t="s">
        <v>1924</v>
      </c>
      <c r="E1022" s="785" t="s">
        <v>650</v>
      </c>
      <c r="F1022" s="747" t="s">
        <v>1048</v>
      </c>
      <c r="G1022" s="462">
        <v>10200000</v>
      </c>
      <c r="H1022" s="462">
        <v>10200000</v>
      </c>
      <c r="I1022" s="454"/>
      <c r="J1022" s="454"/>
    </row>
    <row r="1023" spans="1:10" s="433" customFormat="1" ht="18" customHeight="1" x14ac:dyDescent="0.25">
      <c r="A1023" s="870"/>
      <c r="B1023" s="774" t="s">
        <v>1925</v>
      </c>
      <c r="C1023" s="773"/>
      <c r="D1023" s="773"/>
      <c r="E1023" s="775"/>
      <c r="F1023" s="775"/>
      <c r="G1023" s="775"/>
      <c r="H1023" s="775"/>
      <c r="I1023" s="432"/>
      <c r="J1023" s="432"/>
    </row>
    <row r="1024" spans="1:10" s="455" customFormat="1" ht="18" customHeight="1" x14ac:dyDescent="0.25">
      <c r="A1024" s="763"/>
      <c r="B1024" s="854" t="s">
        <v>1926</v>
      </c>
      <c r="C1024" s="745" t="s">
        <v>92</v>
      </c>
      <c r="D1024" s="746" t="s">
        <v>1924</v>
      </c>
      <c r="E1024" s="785">
        <v>70980</v>
      </c>
      <c r="F1024" s="747" t="s">
        <v>1048</v>
      </c>
      <c r="G1024" s="462">
        <v>2200000</v>
      </c>
      <c r="H1024" s="462">
        <v>2200000</v>
      </c>
      <c r="I1024" s="454"/>
      <c r="J1024" s="454"/>
    </row>
    <row r="1025" spans="1:10" s="455" customFormat="1" ht="18" customHeight="1" x14ac:dyDescent="0.25">
      <c r="A1025" s="763"/>
      <c r="B1025" s="854" t="s">
        <v>1927</v>
      </c>
      <c r="C1025" s="745" t="s">
        <v>92</v>
      </c>
      <c r="D1025" s="746" t="s">
        <v>1924</v>
      </c>
      <c r="E1025" s="785">
        <v>70980</v>
      </c>
      <c r="F1025" s="747" t="s">
        <v>1048</v>
      </c>
      <c r="G1025" s="462">
        <v>1200000</v>
      </c>
      <c r="H1025" s="462">
        <v>1200000</v>
      </c>
      <c r="I1025" s="454"/>
      <c r="J1025" s="454"/>
    </row>
    <row r="1026" spans="1:10" s="455" customFormat="1" ht="18" customHeight="1" x14ac:dyDescent="0.25">
      <c r="A1026" s="763"/>
      <c r="B1026" s="871" t="s">
        <v>449</v>
      </c>
      <c r="C1026" s="779"/>
      <c r="D1026" s="705"/>
      <c r="E1026" s="871"/>
      <c r="F1026" s="871"/>
      <c r="G1026" s="498">
        <f>SUM(G1024:G1025)</f>
        <v>3400000</v>
      </c>
      <c r="H1026" s="498">
        <f>SUM(H1024:H1025)</f>
        <v>3400000</v>
      </c>
      <c r="I1026" s="454"/>
      <c r="J1026" s="454"/>
    </row>
    <row r="1027" spans="1:10" s="433" customFormat="1" ht="18" customHeight="1" x14ac:dyDescent="0.25">
      <c r="A1027" s="870"/>
      <c r="B1027" s="774" t="s">
        <v>999</v>
      </c>
      <c r="C1027" s="773"/>
      <c r="D1027" s="773"/>
      <c r="E1027" s="775"/>
      <c r="F1027" s="775"/>
      <c r="G1027" s="775"/>
      <c r="H1027" s="775"/>
      <c r="I1027" s="432"/>
      <c r="J1027" s="432"/>
    </row>
    <row r="1028" spans="1:10" s="455" customFormat="1" ht="18" customHeight="1" x14ac:dyDescent="0.25">
      <c r="A1028" s="763"/>
      <c r="B1028" s="436" t="s">
        <v>1928</v>
      </c>
      <c r="C1028" s="745" t="s">
        <v>92</v>
      </c>
      <c r="D1028" s="746" t="s">
        <v>652</v>
      </c>
      <c r="E1028" s="785">
        <v>70941</v>
      </c>
      <c r="F1028" s="747" t="s">
        <v>1048</v>
      </c>
      <c r="G1028" s="462">
        <v>700000</v>
      </c>
      <c r="H1028" s="462">
        <v>700000</v>
      </c>
      <c r="I1028" s="454"/>
      <c r="J1028" s="454"/>
    </row>
    <row r="1029" spans="1:10" s="455" customFormat="1" ht="18" customHeight="1" x14ac:dyDescent="0.25">
      <c r="A1029" s="763"/>
      <c r="B1029" s="436" t="s">
        <v>1929</v>
      </c>
      <c r="C1029" s="745" t="s">
        <v>92</v>
      </c>
      <c r="D1029" s="746" t="s">
        <v>652</v>
      </c>
      <c r="E1029" s="785">
        <v>70941</v>
      </c>
      <c r="F1029" s="747" t="s">
        <v>1048</v>
      </c>
      <c r="G1029" s="462">
        <v>9600000</v>
      </c>
      <c r="H1029" s="462">
        <v>9600000</v>
      </c>
      <c r="I1029" s="454"/>
      <c r="J1029" s="454"/>
    </row>
    <row r="1030" spans="1:10" s="455" customFormat="1" ht="18" customHeight="1" x14ac:dyDescent="0.25">
      <c r="A1030" s="763"/>
      <c r="B1030" s="871" t="s">
        <v>449</v>
      </c>
      <c r="C1030" s="779"/>
      <c r="D1030" s="705"/>
      <c r="E1030" s="871"/>
      <c r="F1030" s="871"/>
      <c r="G1030" s="498">
        <f>SUM(G1028:G1029)</f>
        <v>10300000</v>
      </c>
      <c r="H1030" s="498">
        <f>SUM(H1028:H1029)</f>
        <v>10300000</v>
      </c>
      <c r="I1030" s="454"/>
      <c r="J1030" s="454"/>
    </row>
    <row r="1031" spans="1:10" s="456" customFormat="1" ht="18" customHeight="1" x14ac:dyDescent="0.25">
      <c r="A1031" s="463"/>
      <c r="B1031" s="752" t="s">
        <v>1000</v>
      </c>
      <c r="C1031" s="772"/>
      <c r="D1031" s="772"/>
      <c r="E1031" s="753"/>
      <c r="F1031" s="753"/>
      <c r="G1031" s="753"/>
      <c r="H1031" s="463"/>
      <c r="I1031" s="472"/>
      <c r="J1031" s="472"/>
    </row>
    <row r="1032" spans="1:10" ht="18" customHeight="1" x14ac:dyDescent="0.25">
      <c r="A1032" s="463"/>
      <c r="B1032" s="430" t="s">
        <v>1930</v>
      </c>
      <c r="C1032" s="711" t="s">
        <v>92</v>
      </c>
      <c r="D1032" s="712" t="s">
        <v>189</v>
      </c>
      <c r="E1032" s="783">
        <v>70941</v>
      </c>
      <c r="F1032" s="713" t="s">
        <v>1048</v>
      </c>
      <c r="G1032" s="462">
        <v>1000000</v>
      </c>
      <c r="H1032" s="462">
        <v>1000000</v>
      </c>
    </row>
    <row r="1033" spans="1:10" ht="18" customHeight="1" x14ac:dyDescent="0.25">
      <c r="A1033" s="463"/>
      <c r="B1033" s="430" t="s">
        <v>1931</v>
      </c>
      <c r="C1033" s="711" t="s">
        <v>92</v>
      </c>
      <c r="D1033" s="712" t="s">
        <v>189</v>
      </c>
      <c r="E1033" s="783">
        <v>70941</v>
      </c>
      <c r="F1033" s="713" t="s">
        <v>1048</v>
      </c>
      <c r="G1033" s="462">
        <v>5000000</v>
      </c>
      <c r="H1033" s="462">
        <v>5000000</v>
      </c>
    </row>
    <row r="1034" spans="1:10" ht="18" customHeight="1" x14ac:dyDescent="0.25">
      <c r="A1034" s="463"/>
      <c r="B1034" s="871" t="s">
        <v>117</v>
      </c>
      <c r="C1034" s="740"/>
      <c r="D1034" s="705"/>
      <c r="E1034" s="856"/>
      <c r="F1034" s="856"/>
      <c r="G1034" s="857">
        <f>SUM(G1032:G1033)</f>
        <v>6000000</v>
      </c>
      <c r="H1034" s="473">
        <f>SUM(H1032:H1033)</f>
        <v>6000000</v>
      </c>
    </row>
    <row r="1035" spans="1:10" s="433" customFormat="1" ht="18" customHeight="1" x14ac:dyDescent="0.25">
      <c r="A1035" s="870"/>
      <c r="B1035" s="436" t="s">
        <v>1932</v>
      </c>
      <c r="C1035" s="745" t="s">
        <v>92</v>
      </c>
      <c r="D1035" s="746" t="s">
        <v>189</v>
      </c>
      <c r="E1035" s="785">
        <v>70941</v>
      </c>
      <c r="F1035" s="747" t="s">
        <v>1048</v>
      </c>
      <c r="G1035" s="462">
        <v>16200000</v>
      </c>
      <c r="H1035" s="462">
        <v>16200000</v>
      </c>
      <c r="I1035" s="432"/>
      <c r="J1035" s="432"/>
    </row>
    <row r="1036" spans="1:10" s="455" customFormat="1" ht="18" customHeight="1" x14ac:dyDescent="0.25">
      <c r="A1036" s="763"/>
      <c r="B1036" s="871" t="s">
        <v>449</v>
      </c>
      <c r="C1036" s="740"/>
      <c r="D1036" s="705"/>
      <c r="E1036" s="856"/>
      <c r="F1036" s="856"/>
      <c r="G1036" s="857">
        <f>SUM(G1034:G1035)</f>
        <v>22200000</v>
      </c>
      <c r="H1036" s="473">
        <f>SUM(H1034:H1035)</f>
        <v>22200000</v>
      </c>
      <c r="I1036" s="454"/>
      <c r="J1036" s="454"/>
    </row>
    <row r="1037" spans="1:10" s="456" customFormat="1" ht="18" customHeight="1" x14ac:dyDescent="0.25">
      <c r="A1037" s="463"/>
      <c r="B1037" s="752" t="s">
        <v>1001</v>
      </c>
      <c r="C1037" s="772"/>
      <c r="D1037" s="772"/>
      <c r="E1037" s="753"/>
      <c r="F1037" s="753"/>
      <c r="G1037" s="753"/>
      <c r="H1037" s="463"/>
      <c r="I1037" s="472"/>
      <c r="J1037" s="472"/>
    </row>
    <row r="1038" spans="1:10" ht="18" customHeight="1" x14ac:dyDescent="0.25">
      <c r="A1038" s="463"/>
      <c r="B1038" s="430" t="s">
        <v>1933</v>
      </c>
      <c r="C1038" s="711" t="s">
        <v>92</v>
      </c>
      <c r="D1038" s="712" t="s">
        <v>1934</v>
      </c>
      <c r="E1038" s="783" t="s">
        <v>650</v>
      </c>
      <c r="F1038" s="711" t="s">
        <v>1059</v>
      </c>
      <c r="G1038" s="462">
        <v>50000000</v>
      </c>
      <c r="H1038" s="462">
        <v>50000000</v>
      </c>
    </row>
    <row r="1039" spans="1:10" ht="18" customHeight="1" x14ac:dyDescent="0.25">
      <c r="A1039" s="463"/>
      <c r="B1039" s="447" t="s">
        <v>1935</v>
      </c>
      <c r="C1039" s="711" t="s">
        <v>92</v>
      </c>
      <c r="D1039" s="712" t="s">
        <v>1934</v>
      </c>
      <c r="E1039" s="783" t="s">
        <v>650</v>
      </c>
      <c r="F1039" s="711" t="s">
        <v>1936</v>
      </c>
      <c r="G1039" s="462">
        <v>100000000</v>
      </c>
      <c r="H1039" s="462">
        <v>100000000</v>
      </c>
    </row>
    <row r="1040" spans="1:10" ht="18" customHeight="1" x14ac:dyDescent="0.25">
      <c r="A1040" s="463"/>
      <c r="B1040" s="447" t="s">
        <v>1937</v>
      </c>
      <c r="C1040" s="711" t="s">
        <v>92</v>
      </c>
      <c r="D1040" s="712" t="s">
        <v>1934</v>
      </c>
      <c r="E1040" s="783" t="s">
        <v>650</v>
      </c>
      <c r="F1040" s="711" t="s">
        <v>1059</v>
      </c>
      <c r="G1040" s="462">
        <v>17000000</v>
      </c>
      <c r="H1040" s="462">
        <v>17000000</v>
      </c>
    </row>
    <row r="1041" spans="1:10" ht="18" customHeight="1" x14ac:dyDescent="0.25">
      <c r="A1041" s="463"/>
      <c r="B1041" s="871" t="s">
        <v>117</v>
      </c>
      <c r="C1041" s="779"/>
      <c r="D1041" s="705"/>
      <c r="E1041" s="871"/>
      <c r="F1041" s="871"/>
      <c r="G1041" s="498">
        <f>SUM(G1038:G1040)</f>
        <v>167000000</v>
      </c>
      <c r="H1041" s="473">
        <f>SUM(H1038:H1040)</f>
        <v>167000000</v>
      </c>
    </row>
    <row r="1042" spans="1:10" s="433" customFormat="1" ht="18" customHeight="1" x14ac:dyDescent="0.25">
      <c r="A1042" s="870"/>
      <c r="B1042" s="436" t="s">
        <v>1938</v>
      </c>
      <c r="C1042" s="745" t="s">
        <v>92</v>
      </c>
      <c r="D1042" s="746" t="s">
        <v>1934</v>
      </c>
      <c r="E1042" s="785" t="s">
        <v>650</v>
      </c>
      <c r="F1042" s="747" t="s">
        <v>1048</v>
      </c>
      <c r="G1042" s="462">
        <v>24000000</v>
      </c>
      <c r="H1042" s="462">
        <v>24000000</v>
      </c>
      <c r="I1042" s="432"/>
      <c r="J1042" s="432"/>
    </row>
    <row r="1043" spans="1:10" s="455" customFormat="1" ht="18" customHeight="1" x14ac:dyDescent="0.25">
      <c r="A1043" s="763"/>
      <c r="B1043" s="872" t="s">
        <v>449</v>
      </c>
      <c r="C1043" s="748"/>
      <c r="D1043" s="749"/>
      <c r="E1043" s="817"/>
      <c r="F1043" s="750"/>
      <c r="G1043" s="452">
        <f>SUM(G1041:G1042)</f>
        <v>191000000</v>
      </c>
      <c r="H1043" s="452">
        <f>SUM(H1041:H1042)</f>
        <v>191000000</v>
      </c>
      <c r="I1043" s="454"/>
      <c r="J1043" s="454"/>
    </row>
    <row r="1044" spans="1:10" s="471" customFormat="1" ht="18" customHeight="1" x14ac:dyDescent="0.25">
      <c r="A1044" s="763"/>
      <c r="B1044" s="752" t="s">
        <v>1005</v>
      </c>
      <c r="C1044" s="776"/>
      <c r="D1044" s="776"/>
      <c r="E1044" s="753"/>
      <c r="F1044" s="753"/>
      <c r="G1044" s="753"/>
      <c r="H1044" s="463"/>
      <c r="I1044" s="470"/>
      <c r="J1044" s="470"/>
    </row>
    <row r="1045" spans="1:10" ht="18" customHeight="1" x14ac:dyDescent="0.25">
      <c r="A1045" s="463"/>
      <c r="B1045" s="447" t="s">
        <v>1935</v>
      </c>
      <c r="C1045" s="711" t="s">
        <v>92</v>
      </c>
      <c r="D1045" s="712" t="s">
        <v>1939</v>
      </c>
      <c r="E1045" s="783">
        <v>70941</v>
      </c>
      <c r="F1045" s="711" t="s">
        <v>1936</v>
      </c>
      <c r="G1045" s="462">
        <v>20000000</v>
      </c>
      <c r="H1045" s="462">
        <v>20000000</v>
      </c>
    </row>
    <row r="1046" spans="1:10" ht="18" customHeight="1" x14ac:dyDescent="0.25">
      <c r="A1046" s="463"/>
      <c r="B1046" s="447" t="s">
        <v>1937</v>
      </c>
      <c r="C1046" s="711" t="s">
        <v>92</v>
      </c>
      <c r="D1046" s="712" t="s">
        <v>1939</v>
      </c>
      <c r="E1046" s="783">
        <v>70941</v>
      </c>
      <c r="F1046" s="711" t="s">
        <v>1059</v>
      </c>
      <c r="G1046" s="462">
        <v>5000000</v>
      </c>
      <c r="H1046" s="462">
        <v>5000000</v>
      </c>
    </row>
    <row r="1047" spans="1:10" ht="18" customHeight="1" x14ac:dyDescent="0.25">
      <c r="A1047" s="463"/>
      <c r="B1047" s="870" t="s">
        <v>117</v>
      </c>
      <c r="C1047" s="705"/>
      <c r="D1047" s="705"/>
      <c r="E1047" s="870"/>
      <c r="F1047" s="870"/>
      <c r="G1047" s="473">
        <f>SUM(G1045:G1046)</f>
        <v>25000000</v>
      </c>
      <c r="H1047" s="473">
        <f>SUM(H1045:H1046)</f>
        <v>25000000</v>
      </c>
    </row>
    <row r="1048" spans="1:10" ht="18" customHeight="1" x14ac:dyDescent="0.25">
      <c r="A1048" s="463"/>
      <c r="B1048" s="436" t="s">
        <v>1940</v>
      </c>
      <c r="C1048" s="745" t="s">
        <v>92</v>
      </c>
      <c r="D1048" s="746" t="s">
        <v>1939</v>
      </c>
      <c r="E1048" s="785">
        <v>70941</v>
      </c>
      <c r="F1048" s="747" t="s">
        <v>1048</v>
      </c>
      <c r="G1048" s="462">
        <v>12000000</v>
      </c>
      <c r="H1048" s="462">
        <v>12000000</v>
      </c>
    </row>
    <row r="1049" spans="1:10" s="455" customFormat="1" ht="18" customHeight="1" x14ac:dyDescent="0.25">
      <c r="A1049" s="763"/>
      <c r="B1049" s="870" t="s">
        <v>449</v>
      </c>
      <c r="C1049" s="705"/>
      <c r="D1049" s="705"/>
      <c r="E1049" s="870"/>
      <c r="F1049" s="870"/>
      <c r="G1049" s="473">
        <f>SUM(G1047:G1048)</f>
        <v>37000000</v>
      </c>
      <c r="H1049" s="473">
        <f>SUM(H1047:H1048)</f>
        <v>37000000</v>
      </c>
      <c r="I1049" s="454"/>
      <c r="J1049" s="454"/>
    </row>
    <row r="1050" spans="1:10" s="455" customFormat="1" ht="51" customHeight="1" x14ac:dyDescent="0.25">
      <c r="A1050" s="781"/>
      <c r="B1050" s="467">
        <v>88</v>
      </c>
      <c r="C1050" s="806"/>
      <c r="D1050" s="806"/>
      <c r="E1050" s="474"/>
      <c r="F1050" s="474"/>
      <c r="G1050" s="800"/>
      <c r="H1050" s="800"/>
      <c r="I1050" s="454"/>
      <c r="J1050" s="454"/>
    </row>
    <row r="1051" spans="1:10" s="456" customFormat="1" ht="30" customHeight="1" x14ac:dyDescent="0.25">
      <c r="A1051" s="463"/>
      <c r="B1051" s="752" t="s">
        <v>1006</v>
      </c>
      <c r="C1051" s="772"/>
      <c r="D1051" s="772"/>
      <c r="E1051" s="753"/>
      <c r="F1051" s="753"/>
      <c r="G1051" s="753"/>
      <c r="H1051" s="463"/>
      <c r="I1051" s="472"/>
      <c r="J1051" s="472"/>
    </row>
    <row r="1052" spans="1:10" ht="21" customHeight="1" x14ac:dyDescent="0.25">
      <c r="A1052" s="463"/>
      <c r="B1052" s="447" t="s">
        <v>1935</v>
      </c>
      <c r="C1052" s="711" t="s">
        <v>92</v>
      </c>
      <c r="D1052" s="712" t="s">
        <v>1941</v>
      </c>
      <c r="E1052" s="783">
        <v>70941</v>
      </c>
      <c r="F1052" s="711" t="s">
        <v>1936</v>
      </c>
      <c r="G1052" s="462">
        <v>20000000</v>
      </c>
      <c r="H1052" s="462">
        <v>20000000</v>
      </c>
    </row>
    <row r="1053" spans="1:10" ht="21" customHeight="1" x14ac:dyDescent="0.25">
      <c r="A1053" s="463"/>
      <c r="B1053" s="447" t="s">
        <v>1937</v>
      </c>
      <c r="C1053" s="711" t="s">
        <v>92</v>
      </c>
      <c r="D1053" s="712" t="s">
        <v>1941</v>
      </c>
      <c r="E1053" s="783">
        <v>70941</v>
      </c>
      <c r="F1053" s="711" t="s">
        <v>1059</v>
      </c>
      <c r="G1053" s="462">
        <v>5000000</v>
      </c>
      <c r="H1053" s="462">
        <v>5000000</v>
      </c>
    </row>
    <row r="1054" spans="1:10" ht="21" customHeight="1" x14ac:dyDescent="0.25">
      <c r="A1054" s="463"/>
      <c r="B1054" s="870" t="s">
        <v>117</v>
      </c>
      <c r="C1054" s="705"/>
      <c r="D1054" s="705"/>
      <c r="E1054" s="870"/>
      <c r="F1054" s="870"/>
      <c r="G1054" s="473">
        <f>SUM(G1052:G1053)</f>
        <v>25000000</v>
      </c>
      <c r="H1054" s="489">
        <f>SUM(H1052:H1053)</f>
        <v>25000000</v>
      </c>
    </row>
    <row r="1055" spans="1:10" s="433" customFormat="1" ht="21" customHeight="1" x14ac:dyDescent="0.25">
      <c r="A1055" s="870"/>
      <c r="B1055" s="436" t="s">
        <v>1942</v>
      </c>
      <c r="C1055" s="748" t="s">
        <v>92</v>
      </c>
      <c r="D1055" s="749" t="s">
        <v>1941</v>
      </c>
      <c r="E1055" s="817">
        <v>70941</v>
      </c>
      <c r="F1055" s="750" t="s">
        <v>1048</v>
      </c>
      <c r="G1055" s="452">
        <v>12000000</v>
      </c>
      <c r="H1055" s="452">
        <v>12000000</v>
      </c>
      <c r="I1055" s="432"/>
      <c r="J1055" s="432"/>
    </row>
    <row r="1056" spans="1:10" s="455" customFormat="1" ht="21" customHeight="1" x14ac:dyDescent="0.25">
      <c r="A1056" s="763"/>
      <c r="B1056" s="870" t="s">
        <v>449</v>
      </c>
      <c r="C1056" s="705"/>
      <c r="D1056" s="705"/>
      <c r="E1056" s="870"/>
      <c r="F1056" s="870"/>
      <c r="G1056" s="473">
        <f>SUM(G1054:G1055)</f>
        <v>37000000</v>
      </c>
      <c r="H1056" s="489">
        <f>SUM(H1054:H1055)</f>
        <v>37000000</v>
      </c>
      <c r="I1056" s="454"/>
      <c r="J1056" s="454"/>
    </row>
    <row r="1057" spans="1:10" s="491" customFormat="1" ht="30" customHeight="1" x14ac:dyDescent="0.25">
      <c r="A1057" s="870"/>
      <c r="B1057" s="752" t="s">
        <v>1002</v>
      </c>
      <c r="C1057" s="773"/>
      <c r="D1057" s="773"/>
      <c r="E1057" s="753"/>
      <c r="F1057" s="753"/>
      <c r="G1057" s="753"/>
      <c r="H1057" s="463"/>
      <c r="I1057" s="490"/>
      <c r="J1057" s="490"/>
    </row>
    <row r="1058" spans="1:10" ht="21" customHeight="1" x14ac:dyDescent="0.25">
      <c r="A1058" s="463"/>
      <c r="B1058" s="447" t="s">
        <v>1935</v>
      </c>
      <c r="C1058" s="711" t="s">
        <v>92</v>
      </c>
      <c r="D1058" s="712" t="s">
        <v>1943</v>
      </c>
      <c r="E1058" s="783">
        <v>70941</v>
      </c>
      <c r="F1058" s="711" t="s">
        <v>1936</v>
      </c>
      <c r="G1058" s="462">
        <v>20000000</v>
      </c>
      <c r="H1058" s="462">
        <v>20000000</v>
      </c>
    </row>
    <row r="1059" spans="1:10" ht="21" customHeight="1" x14ac:dyDescent="0.25">
      <c r="A1059" s="463"/>
      <c r="B1059" s="447" t="s">
        <v>1937</v>
      </c>
      <c r="C1059" s="711" t="s">
        <v>92</v>
      </c>
      <c r="D1059" s="712" t="s">
        <v>1943</v>
      </c>
      <c r="E1059" s="783">
        <v>70941</v>
      </c>
      <c r="F1059" s="711" t="s">
        <v>1059</v>
      </c>
      <c r="G1059" s="462">
        <v>5000000</v>
      </c>
      <c r="H1059" s="462">
        <v>5000000</v>
      </c>
    </row>
    <row r="1060" spans="1:10" ht="21" customHeight="1" x14ac:dyDescent="0.25">
      <c r="A1060" s="463"/>
      <c r="B1060" s="873" t="s">
        <v>117</v>
      </c>
      <c r="C1060" s="731"/>
      <c r="D1060" s="705"/>
      <c r="E1060" s="784"/>
      <c r="F1060" s="731"/>
      <c r="G1060" s="452">
        <f>SUM(G1058:G1059)</f>
        <v>25000000</v>
      </c>
      <c r="H1060" s="452">
        <f>SUM(H1058:H1059)</f>
        <v>25000000</v>
      </c>
    </row>
    <row r="1061" spans="1:10" s="433" customFormat="1" ht="21" customHeight="1" x14ac:dyDescent="0.25">
      <c r="A1061" s="870"/>
      <c r="B1061" s="436" t="s">
        <v>1944</v>
      </c>
      <c r="C1061" s="745" t="s">
        <v>92</v>
      </c>
      <c r="D1061" s="746" t="s">
        <v>1943</v>
      </c>
      <c r="E1061" s="785">
        <v>70941</v>
      </c>
      <c r="F1061" s="747" t="s">
        <v>1048</v>
      </c>
      <c r="G1061" s="462">
        <v>12000000</v>
      </c>
      <c r="H1061" s="462">
        <v>12000000</v>
      </c>
      <c r="I1061" s="432"/>
      <c r="J1061" s="432"/>
    </row>
    <row r="1062" spans="1:10" s="455" customFormat="1" ht="21" customHeight="1" x14ac:dyDescent="0.25">
      <c r="A1062" s="763"/>
      <c r="B1062" s="873" t="s">
        <v>449</v>
      </c>
      <c r="C1062" s="818"/>
      <c r="D1062" s="705"/>
      <c r="E1062" s="873"/>
      <c r="F1062" s="873"/>
      <c r="G1062" s="819">
        <f>SUM(G1060:G1061)</f>
        <v>37000000</v>
      </c>
      <c r="H1062" s="473">
        <f>SUM(H1060:H1061)</f>
        <v>37000000</v>
      </c>
      <c r="I1062" s="454"/>
      <c r="J1062" s="454"/>
    </row>
    <row r="1063" spans="1:10" s="491" customFormat="1" ht="30" customHeight="1" x14ac:dyDescent="0.25">
      <c r="A1063" s="870"/>
      <c r="B1063" s="752" t="s">
        <v>1007</v>
      </c>
      <c r="C1063" s="773"/>
      <c r="D1063" s="773"/>
      <c r="E1063" s="829"/>
      <c r="F1063" s="829"/>
      <c r="G1063" s="829"/>
      <c r="H1063" s="463"/>
      <c r="I1063" s="490"/>
      <c r="J1063" s="490"/>
    </row>
    <row r="1064" spans="1:10" ht="21" customHeight="1" x14ac:dyDescent="0.25">
      <c r="A1064" s="463"/>
      <c r="B1064" s="447" t="s">
        <v>1935</v>
      </c>
      <c r="C1064" s="711" t="s">
        <v>92</v>
      </c>
      <c r="D1064" s="712" t="s">
        <v>1945</v>
      </c>
      <c r="E1064" s="783">
        <v>70941</v>
      </c>
      <c r="F1064" s="711" t="s">
        <v>1936</v>
      </c>
      <c r="G1064" s="462">
        <v>20000000</v>
      </c>
      <c r="H1064" s="462">
        <v>20000000</v>
      </c>
    </row>
    <row r="1065" spans="1:10" ht="21" customHeight="1" x14ac:dyDescent="0.25">
      <c r="A1065" s="463"/>
      <c r="B1065" s="447" t="s">
        <v>1937</v>
      </c>
      <c r="C1065" s="711" t="s">
        <v>92</v>
      </c>
      <c r="D1065" s="712" t="s">
        <v>1945</v>
      </c>
      <c r="E1065" s="783">
        <v>70941</v>
      </c>
      <c r="F1065" s="711" t="s">
        <v>1059</v>
      </c>
      <c r="G1065" s="462">
        <v>5000000</v>
      </c>
      <c r="H1065" s="462">
        <v>5000000</v>
      </c>
    </row>
    <row r="1066" spans="1:10" ht="21" customHeight="1" x14ac:dyDescent="0.25">
      <c r="A1066" s="463"/>
      <c r="B1066" s="873" t="s">
        <v>117</v>
      </c>
      <c r="C1066" s="731"/>
      <c r="D1066" s="705"/>
      <c r="E1066" s="784"/>
      <c r="F1066" s="731"/>
      <c r="G1066" s="452">
        <f>SUM(G1064:G1065)</f>
        <v>25000000</v>
      </c>
      <c r="H1066" s="452">
        <f>SUM(H1064:H1065)</f>
        <v>25000000</v>
      </c>
    </row>
    <row r="1067" spans="1:10" s="433" customFormat="1" ht="21" customHeight="1" x14ac:dyDescent="0.25">
      <c r="A1067" s="870"/>
      <c r="B1067" s="436" t="s">
        <v>1946</v>
      </c>
      <c r="C1067" s="745" t="s">
        <v>92</v>
      </c>
      <c r="D1067" s="746" t="s">
        <v>1945</v>
      </c>
      <c r="E1067" s="785">
        <v>70941</v>
      </c>
      <c r="F1067" s="747" t="s">
        <v>1048</v>
      </c>
      <c r="G1067" s="462">
        <v>12000000</v>
      </c>
      <c r="H1067" s="462">
        <v>12000000</v>
      </c>
      <c r="I1067" s="432"/>
      <c r="J1067" s="432"/>
    </row>
    <row r="1068" spans="1:10" s="455" customFormat="1" ht="21" customHeight="1" x14ac:dyDescent="0.25">
      <c r="A1068" s="763"/>
      <c r="B1068" s="875" t="s">
        <v>449</v>
      </c>
      <c r="C1068" s="708"/>
      <c r="D1068" s="705"/>
      <c r="E1068" s="875"/>
      <c r="F1068" s="875"/>
      <c r="G1068" s="452">
        <f>SUM(G1064:G1065)</f>
        <v>25000000</v>
      </c>
      <c r="H1068" s="473">
        <f>SUM(H1066:H1067)</f>
        <v>37000000</v>
      </c>
      <c r="I1068" s="454"/>
      <c r="J1068" s="454"/>
    </row>
    <row r="1069" spans="1:10" s="491" customFormat="1" ht="30" customHeight="1" x14ac:dyDescent="0.25">
      <c r="A1069" s="870"/>
      <c r="B1069" s="752" t="s">
        <v>1004</v>
      </c>
      <c r="C1069" s="773"/>
      <c r="D1069" s="773"/>
      <c r="E1069" s="753"/>
      <c r="F1069" s="753"/>
      <c r="G1069" s="753"/>
      <c r="H1069" s="463"/>
      <c r="I1069" s="490"/>
      <c r="J1069" s="490"/>
    </row>
    <row r="1070" spans="1:10" ht="21" customHeight="1" x14ac:dyDescent="0.25">
      <c r="A1070" s="463"/>
      <c r="B1070" s="447" t="s">
        <v>1935</v>
      </c>
      <c r="C1070" s="711" t="s">
        <v>92</v>
      </c>
      <c r="D1070" s="712" t="s">
        <v>1947</v>
      </c>
      <c r="E1070" s="783">
        <v>70941</v>
      </c>
      <c r="F1070" s="711" t="s">
        <v>1936</v>
      </c>
      <c r="G1070" s="462">
        <v>20000000</v>
      </c>
      <c r="H1070" s="462">
        <v>20000000</v>
      </c>
    </row>
    <row r="1071" spans="1:10" ht="21" customHeight="1" x14ac:dyDescent="0.25">
      <c r="A1071" s="463"/>
      <c r="B1071" s="447" t="s">
        <v>1937</v>
      </c>
      <c r="C1071" s="711" t="s">
        <v>92</v>
      </c>
      <c r="D1071" s="712" t="s">
        <v>1947</v>
      </c>
      <c r="E1071" s="783">
        <v>70941</v>
      </c>
      <c r="F1071" s="711" t="s">
        <v>1059</v>
      </c>
      <c r="G1071" s="462">
        <v>5000000</v>
      </c>
      <c r="H1071" s="462">
        <v>5000000</v>
      </c>
    </row>
    <row r="1072" spans="1:10" ht="21" customHeight="1" x14ac:dyDescent="0.25">
      <c r="A1072" s="463"/>
      <c r="B1072" s="875" t="s">
        <v>117</v>
      </c>
      <c r="C1072" s="708"/>
      <c r="D1072" s="705"/>
      <c r="E1072" s="875"/>
      <c r="F1072" s="875"/>
      <c r="G1072" s="452">
        <f>SUM(G1070:G1071)</f>
        <v>25000000</v>
      </c>
      <c r="H1072" s="473">
        <f>SUM(H1070:H1071)</f>
        <v>25000000</v>
      </c>
    </row>
    <row r="1073" spans="1:10" s="433" customFormat="1" ht="21" customHeight="1" x14ac:dyDescent="0.25">
      <c r="A1073" s="870"/>
      <c r="B1073" s="436" t="s">
        <v>1948</v>
      </c>
      <c r="C1073" s="745" t="s">
        <v>92</v>
      </c>
      <c r="D1073" s="746" t="s">
        <v>1947</v>
      </c>
      <c r="E1073" s="785">
        <v>70941</v>
      </c>
      <c r="F1073" s="747" t="s">
        <v>1048</v>
      </c>
      <c r="G1073" s="462">
        <v>12000000</v>
      </c>
      <c r="H1073" s="462">
        <v>12000000</v>
      </c>
      <c r="I1073" s="432"/>
      <c r="J1073" s="432"/>
    </row>
    <row r="1074" spans="1:10" s="455" customFormat="1" ht="21" customHeight="1" x14ac:dyDescent="0.25">
      <c r="A1074" s="763"/>
      <c r="B1074" s="875" t="s">
        <v>449</v>
      </c>
      <c r="C1074" s="708"/>
      <c r="D1074" s="712"/>
      <c r="E1074" s="875"/>
      <c r="F1074" s="875"/>
      <c r="G1074" s="452">
        <f>SUM(G1072:G1073)</f>
        <v>37000000</v>
      </c>
      <c r="H1074" s="473">
        <f>SUM(H1072:H1073)</f>
        <v>37000000</v>
      </c>
      <c r="I1074" s="454"/>
      <c r="J1074" s="454"/>
    </row>
    <row r="1075" spans="1:10" s="471" customFormat="1" ht="66" customHeight="1" x14ac:dyDescent="0.25">
      <c r="A1075" s="781"/>
      <c r="B1075" s="485">
        <v>89</v>
      </c>
      <c r="C1075" s="839"/>
      <c r="D1075" s="720"/>
      <c r="E1075" s="840"/>
      <c r="F1075" s="840"/>
      <c r="G1075" s="786"/>
      <c r="H1075" s="800"/>
      <c r="I1075" s="470"/>
      <c r="J1075" s="470"/>
    </row>
    <row r="1076" spans="1:10" s="456" customFormat="1" ht="21" customHeight="1" x14ac:dyDescent="0.25">
      <c r="A1076" s="463"/>
      <c r="B1076" s="752" t="s">
        <v>1003</v>
      </c>
      <c r="C1076" s="772"/>
      <c r="D1076" s="772"/>
      <c r="E1076" s="753"/>
      <c r="F1076" s="753"/>
      <c r="G1076" s="753"/>
      <c r="H1076" s="463"/>
      <c r="I1076" s="472"/>
      <c r="J1076" s="472"/>
    </row>
    <row r="1077" spans="1:10" ht="21" customHeight="1" x14ac:dyDescent="0.25">
      <c r="A1077" s="463"/>
      <c r="B1077" s="447" t="s">
        <v>1935</v>
      </c>
      <c r="C1077" s="711" t="s">
        <v>92</v>
      </c>
      <c r="D1077" s="712" t="s">
        <v>1949</v>
      </c>
      <c r="E1077" s="783">
        <v>70941</v>
      </c>
      <c r="F1077" s="711" t="s">
        <v>1936</v>
      </c>
      <c r="G1077" s="462">
        <v>20000000</v>
      </c>
      <c r="H1077" s="462">
        <v>20000000</v>
      </c>
    </row>
    <row r="1078" spans="1:10" ht="21" customHeight="1" x14ac:dyDescent="0.25">
      <c r="A1078" s="463"/>
      <c r="B1078" s="447" t="s">
        <v>1937</v>
      </c>
      <c r="C1078" s="711" t="s">
        <v>92</v>
      </c>
      <c r="D1078" s="712" t="s">
        <v>1949</v>
      </c>
      <c r="E1078" s="783">
        <v>70941</v>
      </c>
      <c r="F1078" s="711" t="s">
        <v>1059</v>
      </c>
      <c r="G1078" s="462">
        <v>5000000</v>
      </c>
      <c r="H1078" s="462">
        <v>5000000</v>
      </c>
    </row>
    <row r="1079" spans="1:10" ht="21" customHeight="1" x14ac:dyDescent="0.25">
      <c r="A1079" s="463"/>
      <c r="B1079" s="870" t="s">
        <v>117</v>
      </c>
      <c r="C1079" s="705"/>
      <c r="D1079" s="705"/>
      <c r="E1079" s="870"/>
      <c r="F1079" s="870"/>
      <c r="G1079" s="473">
        <f>SUM(G1077:G1078)</f>
        <v>25000000</v>
      </c>
      <c r="H1079" s="473">
        <f>SUM(H1077:H1078)</f>
        <v>25000000</v>
      </c>
    </row>
    <row r="1080" spans="1:10" s="433" customFormat="1" ht="21" customHeight="1" x14ac:dyDescent="0.25">
      <c r="A1080" s="870"/>
      <c r="B1080" s="436" t="s">
        <v>1950</v>
      </c>
      <c r="C1080" s="745" t="s">
        <v>92</v>
      </c>
      <c r="D1080" s="746" t="s">
        <v>1949</v>
      </c>
      <c r="E1080" s="785">
        <v>70941</v>
      </c>
      <c r="F1080" s="747" t="s">
        <v>1048</v>
      </c>
      <c r="G1080" s="462">
        <v>12000000</v>
      </c>
      <c r="H1080" s="462">
        <v>12000000</v>
      </c>
      <c r="I1080" s="432"/>
      <c r="J1080" s="432"/>
    </row>
    <row r="1081" spans="1:10" s="455" customFormat="1" ht="21" customHeight="1" x14ac:dyDescent="0.25">
      <c r="A1081" s="763"/>
      <c r="B1081" s="870" t="s">
        <v>449</v>
      </c>
      <c r="C1081" s="705"/>
      <c r="D1081" s="705"/>
      <c r="E1081" s="870"/>
      <c r="F1081" s="870"/>
      <c r="G1081" s="473">
        <f>SUM(G1079:G1080)</f>
        <v>37000000</v>
      </c>
      <c r="H1081" s="473">
        <f>SUM(H1079:H1080)</f>
        <v>37000000</v>
      </c>
      <c r="I1081" s="454"/>
      <c r="J1081" s="454"/>
    </row>
    <row r="1082" spans="1:10" s="491" customFormat="1" ht="21" customHeight="1" x14ac:dyDescent="0.25">
      <c r="A1082" s="870"/>
      <c r="B1082" s="752" t="s">
        <v>1008</v>
      </c>
      <c r="C1082" s="773"/>
      <c r="D1082" s="773"/>
      <c r="E1082" s="753"/>
      <c r="F1082" s="753"/>
      <c r="G1082" s="753"/>
      <c r="H1082" s="463"/>
      <c r="I1082" s="490"/>
      <c r="J1082" s="490"/>
    </row>
    <row r="1083" spans="1:10" ht="21" customHeight="1" x14ac:dyDescent="0.25">
      <c r="A1083" s="463"/>
      <c r="B1083" s="430" t="s">
        <v>1951</v>
      </c>
      <c r="C1083" s="711" t="s">
        <v>92</v>
      </c>
      <c r="D1083" s="712" t="s">
        <v>1952</v>
      </c>
      <c r="E1083" s="783">
        <v>70980</v>
      </c>
      <c r="F1083" s="713" t="s">
        <v>1048</v>
      </c>
      <c r="G1083" s="462">
        <v>300000000</v>
      </c>
      <c r="H1083" s="462">
        <v>300000000</v>
      </c>
    </row>
    <row r="1084" spans="1:10" ht="21" customHeight="1" x14ac:dyDescent="0.25">
      <c r="A1084" s="463"/>
      <c r="B1084" s="447" t="s">
        <v>1953</v>
      </c>
      <c r="C1084" s="711" t="s">
        <v>92</v>
      </c>
      <c r="D1084" s="712" t="s">
        <v>1952</v>
      </c>
      <c r="E1084" s="783">
        <v>70980</v>
      </c>
      <c r="F1084" s="713" t="s">
        <v>1048</v>
      </c>
      <c r="G1084" s="462">
        <v>205800000</v>
      </c>
      <c r="H1084" s="462">
        <v>205800000</v>
      </c>
    </row>
    <row r="1085" spans="1:10" ht="21" customHeight="1" x14ac:dyDescent="0.25">
      <c r="A1085" s="463"/>
      <c r="B1085" s="447" t="s">
        <v>1954</v>
      </c>
      <c r="C1085" s="711" t="s">
        <v>92</v>
      </c>
      <c r="D1085" s="712" t="s">
        <v>1952</v>
      </c>
      <c r="E1085" s="783">
        <v>70980</v>
      </c>
      <c r="F1085" s="713" t="s">
        <v>1048</v>
      </c>
      <c r="G1085" s="462">
        <v>73900000</v>
      </c>
      <c r="H1085" s="462">
        <v>73900000</v>
      </c>
    </row>
    <row r="1086" spans="1:10" ht="21" customHeight="1" x14ac:dyDescent="0.25">
      <c r="A1086" s="463"/>
      <c r="B1086" s="447" t="s">
        <v>1955</v>
      </c>
      <c r="C1086" s="711" t="s">
        <v>92</v>
      </c>
      <c r="D1086" s="712" t="s">
        <v>1952</v>
      </c>
      <c r="E1086" s="783">
        <v>70980</v>
      </c>
      <c r="F1086" s="713" t="s">
        <v>1048</v>
      </c>
      <c r="G1086" s="462">
        <v>147900000</v>
      </c>
      <c r="H1086" s="462">
        <v>147900000</v>
      </c>
    </row>
    <row r="1087" spans="1:10" ht="32.25" customHeight="1" x14ac:dyDescent="0.25">
      <c r="A1087" s="463"/>
      <c r="B1087" s="430" t="s">
        <v>1956</v>
      </c>
      <c r="C1087" s="711" t="s">
        <v>92</v>
      </c>
      <c r="D1087" s="712" t="s">
        <v>1952</v>
      </c>
      <c r="E1087" s="783">
        <v>70980</v>
      </c>
      <c r="F1087" s="713" t="s">
        <v>1048</v>
      </c>
      <c r="G1087" s="462">
        <v>30000000</v>
      </c>
      <c r="H1087" s="462">
        <v>30000000</v>
      </c>
    </row>
    <row r="1088" spans="1:10" s="492" customFormat="1" ht="21" customHeight="1" x14ac:dyDescent="0.25">
      <c r="A1088" s="463"/>
      <c r="B1088" s="430" t="s">
        <v>1957</v>
      </c>
      <c r="C1088" s="711" t="s">
        <v>92</v>
      </c>
      <c r="D1088" s="712" t="s">
        <v>1952</v>
      </c>
      <c r="E1088" s="783">
        <v>70980</v>
      </c>
      <c r="F1088" s="713" t="s">
        <v>1048</v>
      </c>
      <c r="G1088" s="462">
        <v>300000000</v>
      </c>
      <c r="H1088" s="462">
        <v>300000000</v>
      </c>
      <c r="I1088" s="425"/>
      <c r="J1088" s="425"/>
    </row>
    <row r="1089" spans="1:10" ht="21" customHeight="1" x14ac:dyDescent="0.25">
      <c r="A1089" s="463"/>
      <c r="B1089" s="871" t="s">
        <v>117</v>
      </c>
      <c r="C1089" s="779"/>
      <c r="D1089" s="705"/>
      <c r="E1089" s="871"/>
      <c r="F1089" s="871"/>
      <c r="G1089" s="498">
        <f>SUM(G1083:G1088)</f>
        <v>1057600000</v>
      </c>
      <c r="H1089" s="473">
        <f>SUM(H1083:H1088)</f>
        <v>1057600000</v>
      </c>
    </row>
    <row r="1090" spans="1:10" ht="21" customHeight="1" x14ac:dyDescent="0.25">
      <c r="A1090" s="463"/>
      <c r="B1090" s="436" t="s">
        <v>1958</v>
      </c>
      <c r="C1090" s="745"/>
      <c r="D1090" s="746" t="s">
        <v>1952</v>
      </c>
      <c r="E1090" s="785">
        <v>70980</v>
      </c>
      <c r="F1090" s="747" t="s">
        <v>1048</v>
      </c>
      <c r="G1090" s="462">
        <v>3000000</v>
      </c>
      <c r="H1090" s="462">
        <v>3000000</v>
      </c>
    </row>
    <row r="1091" spans="1:10" s="455" customFormat="1" ht="21" customHeight="1" x14ac:dyDescent="0.25">
      <c r="A1091" s="763"/>
      <c r="B1091" s="436" t="s">
        <v>1959</v>
      </c>
      <c r="C1091" s="745" t="s">
        <v>92</v>
      </c>
      <c r="D1091" s="746" t="s">
        <v>1952</v>
      </c>
      <c r="E1091" s="785">
        <v>70980</v>
      </c>
      <c r="F1091" s="747" t="s">
        <v>1048</v>
      </c>
      <c r="G1091" s="462">
        <v>6000000</v>
      </c>
      <c r="H1091" s="462">
        <v>6000000</v>
      </c>
      <c r="I1091" s="454"/>
      <c r="J1091" s="454"/>
    </row>
    <row r="1092" spans="1:10" s="455" customFormat="1" ht="21" customHeight="1" x14ac:dyDescent="0.25">
      <c r="A1092" s="763"/>
      <c r="B1092" s="871" t="s">
        <v>117</v>
      </c>
      <c r="C1092" s="745"/>
      <c r="D1092" s="705"/>
      <c r="E1092" s="871"/>
      <c r="F1092" s="871"/>
      <c r="G1092" s="498">
        <f>SUM(G1090:G1091)</f>
        <v>9000000</v>
      </c>
      <c r="H1092" s="498">
        <f>SUM(H1090:H1091)</f>
        <v>9000000</v>
      </c>
      <c r="I1092" s="454"/>
      <c r="J1092" s="454"/>
    </row>
    <row r="1093" spans="1:10" ht="21" customHeight="1" x14ac:dyDescent="0.25">
      <c r="A1093" s="463"/>
      <c r="B1093" s="871" t="s">
        <v>449</v>
      </c>
      <c r="C1093" s="779"/>
      <c r="D1093" s="705"/>
      <c r="E1093" s="871"/>
      <c r="F1093" s="871"/>
      <c r="G1093" s="498">
        <f>G1089+G1092</f>
        <v>1066600000</v>
      </c>
      <c r="H1093" s="498">
        <f>H1089+H1092</f>
        <v>1066600000</v>
      </c>
    </row>
    <row r="1094" spans="1:10" s="456" customFormat="1" ht="21" customHeight="1" x14ac:dyDescent="0.25">
      <c r="A1094" s="463"/>
      <c r="B1094" s="774" t="s">
        <v>1009</v>
      </c>
      <c r="C1094" s="772"/>
      <c r="D1094" s="772"/>
      <c r="E1094" s="775"/>
      <c r="F1094" s="775"/>
      <c r="G1094" s="775"/>
      <c r="H1094" s="775"/>
      <c r="I1094" s="472"/>
      <c r="J1094" s="472"/>
    </row>
    <row r="1095" spans="1:10" s="455" customFormat="1" ht="21" customHeight="1" x14ac:dyDescent="0.25">
      <c r="A1095" s="763"/>
      <c r="B1095" s="436" t="s">
        <v>1960</v>
      </c>
      <c r="C1095" s="746"/>
      <c r="D1095" s="746" t="s">
        <v>1961</v>
      </c>
      <c r="E1095" s="785" t="s">
        <v>650</v>
      </c>
      <c r="F1095" s="747" t="s">
        <v>1048</v>
      </c>
      <c r="G1095" s="462">
        <v>5400000</v>
      </c>
      <c r="H1095" s="462">
        <v>5400000</v>
      </c>
      <c r="I1095" s="454"/>
      <c r="J1095" s="454"/>
    </row>
    <row r="1096" spans="1:10" s="471" customFormat="1" ht="69" customHeight="1" x14ac:dyDescent="0.25">
      <c r="A1096" s="781"/>
      <c r="B1096" s="449">
        <v>90</v>
      </c>
      <c r="C1096" s="858"/>
      <c r="D1096" s="806"/>
      <c r="E1096" s="445"/>
      <c r="F1096" s="445"/>
      <c r="G1096" s="782"/>
      <c r="H1096" s="782"/>
      <c r="I1096" s="470"/>
      <c r="J1096" s="470"/>
    </row>
    <row r="1097" spans="1:10" s="456" customFormat="1" ht="24.95" customHeight="1" x14ac:dyDescent="0.25">
      <c r="A1097" s="463"/>
      <c r="B1097" s="752" t="s">
        <v>1962</v>
      </c>
      <c r="C1097" s="772"/>
      <c r="D1097" s="772"/>
      <c r="E1097" s="753"/>
      <c r="F1097" s="753"/>
      <c r="G1097" s="753"/>
      <c r="H1097" s="463"/>
      <c r="I1097" s="472"/>
      <c r="J1097" s="472"/>
    </row>
    <row r="1098" spans="1:10" ht="18" customHeight="1" x14ac:dyDescent="0.25">
      <c r="A1098" s="463"/>
      <c r="B1098" s="430" t="s">
        <v>1963</v>
      </c>
      <c r="C1098" s="711" t="s">
        <v>92</v>
      </c>
      <c r="D1098" s="712" t="s">
        <v>167</v>
      </c>
      <c r="E1098" s="783">
        <v>70731</v>
      </c>
      <c r="F1098" s="711" t="s">
        <v>1059</v>
      </c>
      <c r="G1098" s="462">
        <v>2000000</v>
      </c>
      <c r="H1098" s="462">
        <v>2000000</v>
      </c>
    </row>
    <row r="1099" spans="1:10" ht="21" customHeight="1" x14ac:dyDescent="0.25">
      <c r="A1099" s="463"/>
      <c r="B1099" s="430" t="s">
        <v>1964</v>
      </c>
      <c r="C1099" s="711" t="s">
        <v>92</v>
      </c>
      <c r="D1099" s="712" t="s">
        <v>167</v>
      </c>
      <c r="E1099" s="783">
        <v>70731</v>
      </c>
      <c r="F1099" s="711" t="s">
        <v>1965</v>
      </c>
      <c r="G1099" s="462">
        <v>150000000</v>
      </c>
      <c r="H1099" s="462">
        <v>150000000</v>
      </c>
    </row>
    <row r="1100" spans="1:10" ht="21" customHeight="1" x14ac:dyDescent="0.25">
      <c r="A1100" s="463"/>
      <c r="B1100" s="430" t="s">
        <v>1966</v>
      </c>
      <c r="C1100" s="711" t="s">
        <v>92</v>
      </c>
      <c r="D1100" s="712" t="s">
        <v>167</v>
      </c>
      <c r="E1100" s="783">
        <v>70731</v>
      </c>
      <c r="F1100" s="711" t="s">
        <v>1967</v>
      </c>
      <c r="G1100" s="462">
        <v>10000000</v>
      </c>
      <c r="H1100" s="462">
        <v>10000000</v>
      </c>
    </row>
    <row r="1101" spans="1:10" ht="18" customHeight="1" x14ac:dyDescent="0.25">
      <c r="A1101" s="463"/>
      <c r="B1101" s="430" t="s">
        <v>1968</v>
      </c>
      <c r="C1101" s="711" t="s">
        <v>92</v>
      </c>
      <c r="D1101" s="712" t="s">
        <v>167</v>
      </c>
      <c r="E1101" s="783">
        <v>70731</v>
      </c>
      <c r="F1101" s="711" t="s">
        <v>1969</v>
      </c>
      <c r="G1101" s="462">
        <v>10000000</v>
      </c>
      <c r="H1101" s="462">
        <v>10000000</v>
      </c>
    </row>
    <row r="1102" spans="1:10" ht="18" customHeight="1" x14ac:dyDescent="0.25">
      <c r="A1102" s="463"/>
      <c r="B1102" s="430" t="s">
        <v>1970</v>
      </c>
      <c r="C1102" s="711" t="s">
        <v>92</v>
      </c>
      <c r="D1102" s="712" t="s">
        <v>167</v>
      </c>
      <c r="E1102" s="783">
        <v>70731</v>
      </c>
      <c r="F1102" s="711" t="s">
        <v>1971</v>
      </c>
      <c r="G1102" s="462">
        <v>5000000</v>
      </c>
      <c r="H1102" s="462">
        <v>5000000</v>
      </c>
    </row>
    <row r="1103" spans="1:10" ht="18" customHeight="1" x14ac:dyDescent="0.25">
      <c r="A1103" s="463"/>
      <c r="B1103" s="436" t="s">
        <v>1972</v>
      </c>
      <c r="C1103" s="745" t="s">
        <v>92</v>
      </c>
      <c r="D1103" s="746" t="s">
        <v>167</v>
      </c>
      <c r="E1103" s="785">
        <v>70731</v>
      </c>
      <c r="F1103" s="747" t="s">
        <v>1048</v>
      </c>
      <c r="G1103" s="451">
        <v>250000000</v>
      </c>
      <c r="H1103" s="451">
        <v>250000000</v>
      </c>
    </row>
    <row r="1104" spans="1:10" ht="18" customHeight="1" x14ac:dyDescent="0.25">
      <c r="A1104" s="463"/>
      <c r="B1104" s="870" t="s">
        <v>117</v>
      </c>
      <c r="C1104" s="705"/>
      <c r="D1104" s="705"/>
      <c r="E1104" s="870"/>
      <c r="F1104" s="870"/>
      <c r="G1104" s="473">
        <f>SUM(G1098:G1103)</f>
        <v>427000000</v>
      </c>
      <c r="H1104" s="473">
        <f>SUM(H1098:H1103)</f>
        <v>427000000</v>
      </c>
    </row>
    <row r="1105" spans="1:10" s="433" customFormat="1" ht="18" customHeight="1" x14ac:dyDescent="0.25">
      <c r="A1105" s="870"/>
      <c r="B1105" s="436" t="s">
        <v>1973</v>
      </c>
      <c r="C1105" s="745" t="s">
        <v>92</v>
      </c>
      <c r="D1105" s="746" t="s">
        <v>167</v>
      </c>
      <c r="E1105" s="785">
        <v>70731</v>
      </c>
      <c r="F1105" s="747" t="s">
        <v>1048</v>
      </c>
      <c r="G1105" s="451">
        <v>16800000</v>
      </c>
      <c r="H1105" s="451">
        <v>16800000</v>
      </c>
      <c r="I1105" s="432"/>
      <c r="J1105" s="432"/>
    </row>
    <row r="1106" spans="1:10" s="455" customFormat="1" ht="18" customHeight="1" x14ac:dyDescent="0.25">
      <c r="A1106" s="763"/>
      <c r="B1106" s="872" t="s">
        <v>449</v>
      </c>
      <c r="C1106" s="748"/>
      <c r="D1106" s="749"/>
      <c r="E1106" s="817"/>
      <c r="F1106" s="750"/>
      <c r="G1106" s="761">
        <f>SUM(G1104:G1105)</f>
        <v>443800000</v>
      </c>
      <c r="H1106" s="761">
        <f>SUM(H1104:H1105)</f>
        <v>443800000</v>
      </c>
      <c r="I1106" s="454"/>
      <c r="J1106" s="454"/>
    </row>
    <row r="1107" spans="1:10" s="494" customFormat="1" ht="24.95" customHeight="1" x14ac:dyDescent="0.25">
      <c r="A1107" s="832"/>
      <c r="B1107" s="774" t="s">
        <v>1011</v>
      </c>
      <c r="C1107" s="859"/>
      <c r="D1107" s="859"/>
      <c r="E1107" s="775"/>
      <c r="F1107" s="775"/>
      <c r="G1107" s="775"/>
      <c r="H1107" s="775"/>
      <c r="I1107" s="493"/>
      <c r="J1107" s="493"/>
    </row>
    <row r="1108" spans="1:10" s="455" customFormat="1" ht="18" customHeight="1" x14ac:dyDescent="0.25">
      <c r="A1108" s="763"/>
      <c r="B1108" s="436" t="s">
        <v>1974</v>
      </c>
      <c r="C1108" s="745" t="s">
        <v>92</v>
      </c>
      <c r="D1108" s="746" t="s">
        <v>1975</v>
      </c>
      <c r="E1108" s="785">
        <v>70980</v>
      </c>
      <c r="F1108" s="747" t="s">
        <v>1048</v>
      </c>
      <c r="G1108" s="451">
        <v>75000000</v>
      </c>
      <c r="H1108" s="451">
        <v>75000000</v>
      </c>
      <c r="I1108" s="454"/>
      <c r="J1108" s="454"/>
    </row>
    <row r="1109" spans="1:10" s="455" customFormat="1" ht="18" customHeight="1" x14ac:dyDescent="0.25">
      <c r="A1109" s="763"/>
      <c r="B1109" s="436" t="s">
        <v>1976</v>
      </c>
      <c r="C1109" s="745" t="s">
        <v>92</v>
      </c>
      <c r="D1109" s="746" t="s">
        <v>1975</v>
      </c>
      <c r="E1109" s="785">
        <v>70980</v>
      </c>
      <c r="F1109" s="747" t="s">
        <v>1048</v>
      </c>
      <c r="G1109" s="451">
        <v>32400000</v>
      </c>
      <c r="H1109" s="451">
        <v>32400000</v>
      </c>
      <c r="I1109" s="454"/>
      <c r="J1109" s="454"/>
    </row>
    <row r="1110" spans="1:10" s="455" customFormat="1" ht="18" customHeight="1" x14ac:dyDescent="0.25">
      <c r="A1110" s="763"/>
      <c r="B1110" s="872" t="s">
        <v>449</v>
      </c>
      <c r="C1110" s="748"/>
      <c r="D1110" s="749"/>
      <c r="E1110" s="817"/>
      <c r="F1110" s="750"/>
      <c r="G1110" s="761">
        <f>SUM(G1108:G1109)</f>
        <v>107400000</v>
      </c>
      <c r="H1110" s="761">
        <f>SUM(H1108:H1109)</f>
        <v>107400000</v>
      </c>
      <c r="I1110" s="454"/>
      <c r="J1110" s="454"/>
    </row>
    <row r="1111" spans="1:10" s="494" customFormat="1" ht="24.95" customHeight="1" x14ac:dyDescent="0.25">
      <c r="A1111" s="832"/>
      <c r="B1111" s="774" t="s">
        <v>1977</v>
      </c>
      <c r="C1111" s="859"/>
      <c r="D1111" s="859"/>
      <c r="E1111" s="775"/>
      <c r="F1111" s="775"/>
      <c r="G1111" s="775"/>
      <c r="H1111" s="775"/>
      <c r="I1111" s="493"/>
      <c r="J1111" s="493"/>
    </row>
    <row r="1112" spans="1:10" s="455" customFormat="1" ht="18" customHeight="1" x14ac:dyDescent="0.25">
      <c r="A1112" s="763"/>
      <c r="B1112" s="436" t="s">
        <v>1978</v>
      </c>
      <c r="C1112" s="745" t="s">
        <v>92</v>
      </c>
      <c r="D1112" s="746" t="s">
        <v>1979</v>
      </c>
      <c r="E1112" s="785">
        <v>70732</v>
      </c>
      <c r="F1112" s="747" t="s">
        <v>1048</v>
      </c>
      <c r="G1112" s="451">
        <v>8600000</v>
      </c>
      <c r="H1112" s="451">
        <v>8600000</v>
      </c>
      <c r="I1112" s="454"/>
      <c r="J1112" s="454"/>
    </row>
    <row r="1113" spans="1:10" s="494" customFormat="1" ht="24.95" customHeight="1" x14ac:dyDescent="0.25">
      <c r="A1113" s="832"/>
      <c r="B1113" s="774" t="s">
        <v>1980</v>
      </c>
      <c r="C1113" s="859"/>
      <c r="D1113" s="859"/>
      <c r="E1113" s="775"/>
      <c r="F1113" s="775"/>
      <c r="G1113" s="775"/>
      <c r="H1113" s="775"/>
      <c r="I1113" s="493"/>
      <c r="J1113" s="493"/>
    </row>
    <row r="1114" spans="1:10" s="496" customFormat="1" ht="21" customHeight="1" x14ac:dyDescent="0.25">
      <c r="A1114" s="832"/>
      <c r="B1114" s="860" t="s">
        <v>1981</v>
      </c>
      <c r="C1114" s="745" t="s">
        <v>92</v>
      </c>
      <c r="D1114" s="746" t="s">
        <v>1982</v>
      </c>
      <c r="E1114" s="785">
        <v>70734</v>
      </c>
      <c r="F1114" s="747" t="s">
        <v>1048</v>
      </c>
      <c r="G1114" s="462">
        <v>1200000</v>
      </c>
      <c r="H1114" s="462">
        <v>1200000</v>
      </c>
      <c r="I1114" s="495"/>
      <c r="J1114" s="495"/>
    </row>
    <row r="1115" spans="1:10" s="494" customFormat="1" ht="24.95" customHeight="1" x14ac:dyDescent="0.25">
      <c r="A1115" s="832"/>
      <c r="B1115" s="774" t="s">
        <v>1983</v>
      </c>
      <c r="C1115" s="859"/>
      <c r="D1115" s="859"/>
      <c r="E1115" s="775"/>
      <c r="F1115" s="775"/>
      <c r="G1115" s="775"/>
      <c r="H1115" s="775"/>
      <c r="I1115" s="493"/>
      <c r="J1115" s="493"/>
    </row>
    <row r="1116" spans="1:10" ht="18" customHeight="1" x14ac:dyDescent="0.25">
      <c r="A1116" s="463"/>
      <c r="B1116" s="860" t="s">
        <v>1984</v>
      </c>
      <c r="C1116" s="745" t="s">
        <v>92</v>
      </c>
      <c r="D1116" s="746" t="s">
        <v>1985</v>
      </c>
      <c r="E1116" s="785">
        <v>70734</v>
      </c>
      <c r="F1116" s="747" t="s">
        <v>1048</v>
      </c>
      <c r="G1116" s="462">
        <v>1200000</v>
      </c>
      <c r="H1116" s="462">
        <v>1200000</v>
      </c>
    </row>
    <row r="1117" spans="1:10" ht="24.95" customHeight="1" x14ac:dyDescent="0.25">
      <c r="A1117" s="463"/>
      <c r="B1117" s="774" t="s">
        <v>1986</v>
      </c>
      <c r="C1117" s="712"/>
      <c r="D1117" s="712"/>
      <c r="E1117" s="775"/>
      <c r="F1117" s="775"/>
      <c r="G1117" s="775"/>
      <c r="H1117" s="775"/>
    </row>
    <row r="1118" spans="1:10" s="455" customFormat="1" ht="18" customHeight="1" x14ac:dyDescent="0.25">
      <c r="A1118" s="763"/>
      <c r="B1118" s="860" t="s">
        <v>1987</v>
      </c>
      <c r="C1118" s="745" t="s">
        <v>92</v>
      </c>
      <c r="D1118" s="746" t="s">
        <v>1988</v>
      </c>
      <c r="E1118" s="785">
        <v>70734</v>
      </c>
      <c r="F1118" s="747" t="s">
        <v>1048</v>
      </c>
      <c r="G1118" s="462">
        <v>1200000</v>
      </c>
      <c r="H1118" s="462">
        <v>1200000</v>
      </c>
      <c r="I1118" s="454"/>
      <c r="J1118" s="454"/>
    </row>
    <row r="1119" spans="1:10" s="456" customFormat="1" ht="24.95" customHeight="1" x14ac:dyDescent="0.25">
      <c r="A1119" s="463"/>
      <c r="B1119" s="774" t="s">
        <v>1989</v>
      </c>
      <c r="C1119" s="772"/>
      <c r="D1119" s="772"/>
      <c r="E1119" s="775"/>
      <c r="F1119" s="775"/>
      <c r="G1119" s="775"/>
      <c r="H1119" s="775"/>
      <c r="I1119" s="472"/>
      <c r="J1119" s="472"/>
    </row>
    <row r="1120" spans="1:10" s="455" customFormat="1" ht="18" customHeight="1" x14ac:dyDescent="0.25">
      <c r="A1120" s="763"/>
      <c r="B1120" s="860" t="s">
        <v>1990</v>
      </c>
      <c r="C1120" s="745" t="s">
        <v>92</v>
      </c>
      <c r="D1120" s="746" t="s">
        <v>1991</v>
      </c>
      <c r="E1120" s="785">
        <v>70733</v>
      </c>
      <c r="F1120" s="747" t="s">
        <v>1048</v>
      </c>
      <c r="G1120" s="462">
        <v>1080000</v>
      </c>
      <c r="H1120" s="462">
        <v>1080000</v>
      </c>
      <c r="I1120" s="454"/>
      <c r="J1120" s="454"/>
    </row>
    <row r="1121" spans="1:10" s="456" customFormat="1" ht="24.95" customHeight="1" x14ac:dyDescent="0.25">
      <c r="A1121" s="463"/>
      <c r="B1121" s="774" t="s">
        <v>1992</v>
      </c>
      <c r="C1121" s="772"/>
      <c r="D1121" s="772"/>
      <c r="E1121" s="775"/>
      <c r="F1121" s="775"/>
      <c r="G1121" s="775"/>
      <c r="H1121" s="775"/>
      <c r="I1121" s="472"/>
      <c r="J1121" s="472"/>
    </row>
    <row r="1122" spans="1:10" s="455" customFormat="1" ht="18" customHeight="1" x14ac:dyDescent="0.25">
      <c r="A1122" s="763"/>
      <c r="B1122" s="860" t="s">
        <v>1993</v>
      </c>
      <c r="C1122" s="745" t="s">
        <v>92</v>
      </c>
      <c r="D1122" s="746" t="s">
        <v>1994</v>
      </c>
      <c r="E1122" s="785">
        <v>70733</v>
      </c>
      <c r="F1122" s="747" t="s">
        <v>1048</v>
      </c>
      <c r="G1122" s="462">
        <v>1080000</v>
      </c>
      <c r="H1122" s="462">
        <v>1080000</v>
      </c>
      <c r="I1122" s="454"/>
      <c r="J1122" s="454"/>
    </row>
    <row r="1123" spans="1:10" s="456" customFormat="1" ht="24.95" customHeight="1" x14ac:dyDescent="0.25">
      <c r="A1123" s="463"/>
      <c r="B1123" s="774" t="s">
        <v>1995</v>
      </c>
      <c r="C1123" s="772"/>
      <c r="D1123" s="772"/>
      <c r="E1123" s="775"/>
      <c r="F1123" s="775"/>
      <c r="G1123" s="775"/>
      <c r="H1123" s="775"/>
      <c r="I1123" s="472"/>
      <c r="J1123" s="472"/>
    </row>
    <row r="1124" spans="1:10" s="455" customFormat="1" ht="18" customHeight="1" x14ac:dyDescent="0.25">
      <c r="A1124" s="763"/>
      <c r="B1124" s="860" t="s">
        <v>1996</v>
      </c>
      <c r="C1124" s="745" t="s">
        <v>92</v>
      </c>
      <c r="D1124" s="746" t="s">
        <v>1997</v>
      </c>
      <c r="E1124" s="785">
        <v>70722</v>
      </c>
      <c r="F1124" s="747" t="s">
        <v>1048</v>
      </c>
      <c r="G1124" s="462">
        <v>18400000</v>
      </c>
      <c r="H1124" s="462">
        <v>18400000</v>
      </c>
      <c r="I1124" s="454"/>
      <c r="J1124" s="454"/>
    </row>
    <row r="1125" spans="1:10" s="471" customFormat="1" ht="46.5" customHeight="1" x14ac:dyDescent="0.25">
      <c r="A1125" s="781"/>
      <c r="B1125" s="764">
        <v>91</v>
      </c>
      <c r="C1125" s="795"/>
      <c r="D1125" s="796"/>
      <c r="E1125" s="861"/>
      <c r="F1125" s="798"/>
      <c r="G1125" s="766"/>
      <c r="H1125" s="766"/>
      <c r="I1125" s="470"/>
      <c r="J1125" s="470"/>
    </row>
    <row r="1126" spans="1:10" s="456" customFormat="1" ht="30" customHeight="1" x14ac:dyDescent="0.25">
      <c r="A1126" s="463"/>
      <c r="B1126" s="752" t="s">
        <v>1012</v>
      </c>
      <c r="C1126" s="772"/>
      <c r="D1126" s="772"/>
      <c r="E1126" s="753"/>
      <c r="F1126" s="753"/>
      <c r="G1126" s="753"/>
      <c r="H1126" s="463"/>
      <c r="I1126" s="472"/>
      <c r="J1126" s="472"/>
    </row>
    <row r="1127" spans="1:10" ht="35.25" customHeight="1" x14ac:dyDescent="0.25">
      <c r="A1127" s="463"/>
      <c r="B1127" s="430" t="s">
        <v>1998</v>
      </c>
      <c r="C1127" s="711" t="s">
        <v>92</v>
      </c>
      <c r="D1127" s="712" t="s">
        <v>1999</v>
      </c>
      <c r="E1127" s="783">
        <v>70732</v>
      </c>
      <c r="F1127" s="711" t="s">
        <v>1067</v>
      </c>
      <c r="G1127" s="462">
        <v>20000000</v>
      </c>
      <c r="H1127" s="462">
        <v>20000000</v>
      </c>
    </row>
    <row r="1128" spans="1:10" ht="20.100000000000001" customHeight="1" x14ac:dyDescent="0.25">
      <c r="A1128" s="463"/>
      <c r="B1128" s="430" t="s">
        <v>2000</v>
      </c>
      <c r="C1128" s="711" t="s">
        <v>92</v>
      </c>
      <c r="D1128" s="712" t="s">
        <v>1999</v>
      </c>
      <c r="E1128" s="783">
        <v>70732</v>
      </c>
      <c r="F1128" s="711" t="s">
        <v>2001</v>
      </c>
      <c r="G1128" s="462">
        <v>3000000</v>
      </c>
      <c r="H1128" s="462">
        <v>3000000</v>
      </c>
    </row>
    <row r="1129" spans="1:10" ht="20.100000000000001" customHeight="1" x14ac:dyDescent="0.25">
      <c r="A1129" s="463"/>
      <c r="B1129" s="430" t="s">
        <v>2002</v>
      </c>
      <c r="C1129" s="711" t="s">
        <v>92</v>
      </c>
      <c r="D1129" s="712" t="s">
        <v>1999</v>
      </c>
      <c r="E1129" s="783">
        <v>70732</v>
      </c>
      <c r="F1129" s="711" t="s">
        <v>2003</v>
      </c>
      <c r="G1129" s="462">
        <v>2000000</v>
      </c>
      <c r="H1129" s="462">
        <v>2000000</v>
      </c>
    </row>
    <row r="1130" spans="1:10" ht="20.100000000000001" customHeight="1" x14ac:dyDescent="0.25">
      <c r="A1130" s="463"/>
      <c r="B1130" s="430" t="s">
        <v>2004</v>
      </c>
      <c r="C1130" s="711" t="s">
        <v>92</v>
      </c>
      <c r="D1130" s="712" t="s">
        <v>1999</v>
      </c>
      <c r="E1130" s="783">
        <v>70732</v>
      </c>
      <c r="F1130" s="711" t="s">
        <v>2003</v>
      </c>
      <c r="G1130" s="462">
        <v>1000000</v>
      </c>
      <c r="H1130" s="462">
        <v>1000000</v>
      </c>
    </row>
    <row r="1131" spans="1:10" ht="20.100000000000001" customHeight="1" x14ac:dyDescent="0.25">
      <c r="A1131" s="463"/>
      <c r="B1131" s="430" t="s">
        <v>2005</v>
      </c>
      <c r="C1131" s="711" t="s">
        <v>92</v>
      </c>
      <c r="D1131" s="712" t="s">
        <v>1999</v>
      </c>
      <c r="E1131" s="783">
        <v>70732</v>
      </c>
      <c r="F1131" s="711" t="s">
        <v>2003</v>
      </c>
      <c r="G1131" s="462">
        <v>20000000</v>
      </c>
      <c r="H1131" s="462">
        <v>20000000</v>
      </c>
    </row>
    <row r="1132" spans="1:10" ht="20.100000000000001" customHeight="1" x14ac:dyDescent="0.25">
      <c r="A1132" s="463"/>
      <c r="B1132" s="430" t="s">
        <v>2006</v>
      </c>
      <c r="C1132" s="711" t="s">
        <v>92</v>
      </c>
      <c r="D1132" s="712" t="s">
        <v>1999</v>
      </c>
      <c r="E1132" s="783">
        <v>70732</v>
      </c>
      <c r="F1132" s="711" t="s">
        <v>2003</v>
      </c>
      <c r="G1132" s="462">
        <v>3000000</v>
      </c>
      <c r="H1132" s="462">
        <v>3000000</v>
      </c>
    </row>
    <row r="1133" spans="1:10" ht="20.100000000000001" customHeight="1" x14ac:dyDescent="0.25">
      <c r="A1133" s="463"/>
      <c r="B1133" s="430" t="s">
        <v>2007</v>
      </c>
      <c r="C1133" s="711" t="s">
        <v>92</v>
      </c>
      <c r="D1133" s="712" t="s">
        <v>1999</v>
      </c>
      <c r="E1133" s="783">
        <v>70732</v>
      </c>
      <c r="F1133" s="711" t="s">
        <v>2003</v>
      </c>
      <c r="G1133" s="462">
        <v>3000000</v>
      </c>
      <c r="H1133" s="462">
        <v>3000000</v>
      </c>
    </row>
    <row r="1134" spans="1:10" ht="20.100000000000001" customHeight="1" x14ac:dyDescent="0.25">
      <c r="A1134" s="463"/>
      <c r="B1134" s="430" t="s">
        <v>2008</v>
      </c>
      <c r="C1134" s="711" t="s">
        <v>92</v>
      </c>
      <c r="D1134" s="712" t="s">
        <v>1999</v>
      </c>
      <c r="E1134" s="783">
        <v>70732</v>
      </c>
      <c r="F1134" s="711" t="s">
        <v>2009</v>
      </c>
      <c r="G1134" s="462">
        <v>2000000</v>
      </c>
      <c r="H1134" s="462">
        <v>2000000</v>
      </c>
    </row>
    <row r="1135" spans="1:10" ht="20.100000000000001" customHeight="1" x14ac:dyDescent="0.25">
      <c r="A1135" s="463"/>
      <c r="B1135" s="430" t="s">
        <v>2010</v>
      </c>
      <c r="C1135" s="711" t="s">
        <v>92</v>
      </c>
      <c r="D1135" s="712" t="s">
        <v>1999</v>
      </c>
      <c r="E1135" s="783">
        <v>70732</v>
      </c>
      <c r="F1135" s="711" t="s">
        <v>2003</v>
      </c>
      <c r="G1135" s="462">
        <v>2000000</v>
      </c>
      <c r="H1135" s="754">
        <f>SUM(H1127:H1134)</f>
        <v>54000000</v>
      </c>
    </row>
    <row r="1136" spans="1:10" ht="20.100000000000001" customHeight="1" x14ac:dyDescent="0.25">
      <c r="A1136" s="463"/>
      <c r="B1136" s="870" t="s">
        <v>117</v>
      </c>
      <c r="C1136" s="705"/>
      <c r="D1136" s="705"/>
      <c r="E1136" s="862"/>
      <c r="F1136" s="862"/>
      <c r="G1136" s="788">
        <f>SUM(G1127:G1135)</f>
        <v>56000000</v>
      </c>
      <c r="H1136" s="473">
        <f>SUM(H1127:H1135)</f>
        <v>108000000</v>
      </c>
    </row>
    <row r="1137" spans="1:10" ht="20.100000000000001" customHeight="1" x14ac:dyDescent="0.25">
      <c r="A1137" s="463"/>
      <c r="B1137" s="436" t="s">
        <v>2011</v>
      </c>
      <c r="C1137" s="745" t="s">
        <v>92</v>
      </c>
      <c r="D1137" s="746" t="s">
        <v>1999</v>
      </c>
      <c r="E1137" s="785">
        <v>70732</v>
      </c>
      <c r="F1137" s="747" t="s">
        <v>1048</v>
      </c>
      <c r="G1137" s="451">
        <v>18000000</v>
      </c>
      <c r="H1137" s="451">
        <v>18000000</v>
      </c>
      <c r="J1137" s="497"/>
    </row>
    <row r="1138" spans="1:10" s="433" customFormat="1" ht="20.100000000000001" customHeight="1" x14ac:dyDescent="0.25">
      <c r="A1138" s="870"/>
      <c r="B1138" s="870" t="s">
        <v>2012</v>
      </c>
      <c r="C1138" s="705"/>
      <c r="D1138" s="705"/>
      <c r="E1138" s="862"/>
      <c r="F1138" s="862"/>
      <c r="G1138" s="788">
        <f>SUM(G1136,G1137)</f>
        <v>74000000</v>
      </c>
      <c r="H1138" s="788">
        <f>SUM(H1136,H1137)</f>
        <v>126000000</v>
      </c>
      <c r="I1138" s="432"/>
      <c r="J1138" s="432"/>
    </row>
    <row r="1139" spans="1:10" s="456" customFormat="1" ht="30" customHeight="1" x14ac:dyDescent="0.25">
      <c r="A1139" s="463"/>
      <c r="B1139" s="774" t="s">
        <v>2013</v>
      </c>
      <c r="C1139" s="772"/>
      <c r="D1139" s="772"/>
      <c r="E1139" s="775"/>
      <c r="F1139" s="775"/>
      <c r="G1139" s="775"/>
      <c r="H1139" s="775"/>
      <c r="I1139" s="472"/>
      <c r="J1139" s="472"/>
    </row>
    <row r="1140" spans="1:10" s="455" customFormat="1" ht="20.100000000000001" customHeight="1" x14ac:dyDescent="0.25">
      <c r="A1140" s="763"/>
      <c r="B1140" s="780" t="s">
        <v>710</v>
      </c>
      <c r="C1140" s="745" t="s">
        <v>92</v>
      </c>
      <c r="D1140" s="746" t="s">
        <v>2014</v>
      </c>
      <c r="E1140" s="763">
        <v>70111</v>
      </c>
      <c r="F1140" s="745" t="s">
        <v>1059</v>
      </c>
      <c r="G1140" s="451">
        <v>10000000</v>
      </c>
      <c r="H1140" s="451">
        <v>10000000</v>
      </c>
      <c r="I1140" s="454"/>
      <c r="J1140" s="454"/>
    </row>
    <row r="1141" spans="1:10" s="456" customFormat="1" ht="30" customHeight="1" x14ac:dyDescent="0.25">
      <c r="A1141" s="463"/>
      <c r="B1141" s="752" t="s">
        <v>2015</v>
      </c>
      <c r="C1141" s="772"/>
      <c r="D1141" s="772"/>
      <c r="E1141" s="753"/>
      <c r="F1141" s="753"/>
      <c r="G1141" s="753"/>
      <c r="H1141" s="463"/>
      <c r="I1141" s="472"/>
      <c r="J1141" s="472"/>
    </row>
    <row r="1142" spans="1:10" ht="20.100000000000001" customHeight="1" x14ac:dyDescent="0.25">
      <c r="A1142" s="463"/>
      <c r="B1142" s="430" t="s">
        <v>2016</v>
      </c>
      <c r="C1142" s="711" t="s">
        <v>92</v>
      </c>
      <c r="D1142" s="712" t="s">
        <v>236</v>
      </c>
      <c r="E1142" s="783">
        <v>71040</v>
      </c>
      <c r="F1142" s="713" t="s">
        <v>1048</v>
      </c>
      <c r="G1142" s="462">
        <v>4000000</v>
      </c>
      <c r="H1142" s="462">
        <v>4000000</v>
      </c>
    </row>
    <row r="1143" spans="1:10" ht="20.100000000000001" customHeight="1" x14ac:dyDescent="0.25">
      <c r="A1143" s="463"/>
      <c r="B1143" s="430" t="s">
        <v>2017</v>
      </c>
      <c r="C1143" s="711" t="s">
        <v>92</v>
      </c>
      <c r="D1143" s="712" t="s">
        <v>236</v>
      </c>
      <c r="E1143" s="783">
        <v>71040</v>
      </c>
      <c r="F1143" s="713" t="s">
        <v>1048</v>
      </c>
      <c r="G1143" s="462">
        <v>250000</v>
      </c>
      <c r="H1143" s="462">
        <v>250000</v>
      </c>
    </row>
    <row r="1144" spans="1:10" ht="20.100000000000001" customHeight="1" x14ac:dyDescent="0.25">
      <c r="A1144" s="463"/>
      <c r="B1144" s="430" t="s">
        <v>2018</v>
      </c>
      <c r="C1144" s="711" t="s">
        <v>92</v>
      </c>
      <c r="D1144" s="712" t="s">
        <v>236</v>
      </c>
      <c r="E1144" s="783">
        <v>71040</v>
      </c>
      <c r="F1144" s="713" t="s">
        <v>1048</v>
      </c>
      <c r="G1144" s="462">
        <v>350000</v>
      </c>
      <c r="H1144" s="462">
        <v>350000</v>
      </c>
    </row>
    <row r="1145" spans="1:10" ht="20.100000000000001" customHeight="1" x14ac:dyDescent="0.25">
      <c r="A1145" s="463"/>
      <c r="B1145" s="430" t="s">
        <v>2019</v>
      </c>
      <c r="C1145" s="711" t="s">
        <v>92</v>
      </c>
      <c r="D1145" s="712" t="s">
        <v>236</v>
      </c>
      <c r="E1145" s="783">
        <v>71040</v>
      </c>
      <c r="F1145" s="713" t="s">
        <v>1048</v>
      </c>
      <c r="G1145" s="462">
        <v>430000</v>
      </c>
      <c r="H1145" s="462">
        <v>430000</v>
      </c>
    </row>
    <row r="1146" spans="1:10" ht="20.100000000000001" customHeight="1" x14ac:dyDescent="0.25">
      <c r="A1146" s="463"/>
      <c r="B1146" s="430" t="s">
        <v>2020</v>
      </c>
      <c r="C1146" s="711" t="s">
        <v>92</v>
      </c>
      <c r="D1146" s="712" t="s">
        <v>236</v>
      </c>
      <c r="E1146" s="783">
        <v>71040</v>
      </c>
      <c r="F1146" s="713" t="s">
        <v>1048</v>
      </c>
      <c r="G1146" s="462">
        <v>700000</v>
      </c>
      <c r="H1146" s="462">
        <v>700000</v>
      </c>
    </row>
    <row r="1147" spans="1:10" ht="20.100000000000001" customHeight="1" x14ac:dyDescent="0.25">
      <c r="A1147" s="463"/>
      <c r="B1147" s="430" t="s">
        <v>1154</v>
      </c>
      <c r="C1147" s="711" t="s">
        <v>92</v>
      </c>
      <c r="D1147" s="712" t="s">
        <v>236</v>
      </c>
      <c r="E1147" s="783">
        <v>71040</v>
      </c>
      <c r="F1147" s="713" t="s">
        <v>1048</v>
      </c>
      <c r="G1147" s="462">
        <v>270000</v>
      </c>
      <c r="H1147" s="462">
        <v>270000</v>
      </c>
    </row>
    <row r="1148" spans="1:10" ht="20.100000000000001" customHeight="1" x14ac:dyDescent="0.25">
      <c r="A1148" s="463"/>
      <c r="B1148" s="430" t="s">
        <v>2021</v>
      </c>
      <c r="C1148" s="711" t="s">
        <v>92</v>
      </c>
      <c r="D1148" s="712" t="s">
        <v>236</v>
      </c>
      <c r="E1148" s="783">
        <v>71040</v>
      </c>
      <c r="F1148" s="711" t="s">
        <v>2022</v>
      </c>
      <c r="G1148" s="462">
        <v>2500000</v>
      </c>
      <c r="H1148" s="462">
        <v>2500000</v>
      </c>
    </row>
    <row r="1149" spans="1:10" ht="20.100000000000001" customHeight="1" x14ac:dyDescent="0.25">
      <c r="A1149" s="463"/>
      <c r="B1149" s="430" t="s">
        <v>2023</v>
      </c>
      <c r="C1149" s="711" t="s">
        <v>92</v>
      </c>
      <c r="D1149" s="712" t="s">
        <v>236</v>
      </c>
      <c r="E1149" s="783">
        <v>71040</v>
      </c>
      <c r="F1149" s="711" t="s">
        <v>1796</v>
      </c>
      <c r="G1149" s="462">
        <v>1700000</v>
      </c>
      <c r="H1149" s="462">
        <v>1700000</v>
      </c>
    </row>
    <row r="1150" spans="1:10" ht="20.100000000000001" customHeight="1" x14ac:dyDescent="0.25">
      <c r="A1150" s="463"/>
      <c r="B1150" s="430" t="s">
        <v>2024</v>
      </c>
      <c r="C1150" s="711" t="s">
        <v>92</v>
      </c>
      <c r="D1150" s="712" t="s">
        <v>236</v>
      </c>
      <c r="E1150" s="783">
        <v>71040</v>
      </c>
      <c r="F1150" s="711" t="s">
        <v>1803</v>
      </c>
      <c r="G1150" s="462">
        <v>5000000</v>
      </c>
      <c r="H1150" s="462">
        <v>5000000</v>
      </c>
    </row>
    <row r="1151" spans="1:10" ht="20.100000000000001" customHeight="1" x14ac:dyDescent="0.25">
      <c r="A1151" s="463"/>
      <c r="B1151" s="430" t="s">
        <v>2025</v>
      </c>
      <c r="C1151" s="711" t="s">
        <v>92</v>
      </c>
      <c r="D1151" s="712" t="s">
        <v>236</v>
      </c>
      <c r="E1151" s="783">
        <v>71040</v>
      </c>
      <c r="F1151" s="711" t="s">
        <v>1796</v>
      </c>
      <c r="G1151" s="462">
        <v>1500000</v>
      </c>
      <c r="H1151" s="462">
        <v>1500000</v>
      </c>
    </row>
    <row r="1152" spans="1:10" ht="64.5" customHeight="1" x14ac:dyDescent="0.25">
      <c r="A1152" s="756"/>
      <c r="B1152" s="449">
        <v>92</v>
      </c>
      <c r="C1152" s="722"/>
      <c r="D1152" s="720"/>
      <c r="E1152" s="799"/>
      <c r="F1152" s="722"/>
      <c r="G1152" s="759"/>
      <c r="H1152" s="759"/>
    </row>
    <row r="1153" spans="1:8" ht="21" customHeight="1" x14ac:dyDescent="0.25">
      <c r="A1153" s="463"/>
      <c r="B1153" s="871" t="s">
        <v>2026</v>
      </c>
      <c r="C1153" s="711"/>
      <c r="D1153" s="712"/>
      <c r="E1153" s="783"/>
      <c r="F1153" s="711"/>
      <c r="G1153" s="462"/>
      <c r="H1153" s="462"/>
    </row>
    <row r="1154" spans="1:8" ht="18" customHeight="1" x14ac:dyDescent="0.25">
      <c r="A1154" s="463"/>
      <c r="B1154" s="430" t="s">
        <v>2027</v>
      </c>
      <c r="C1154" s="711" t="s">
        <v>92</v>
      </c>
      <c r="D1154" s="712" t="s">
        <v>236</v>
      </c>
      <c r="E1154" s="783">
        <v>71040</v>
      </c>
      <c r="F1154" s="711" t="s">
        <v>2028</v>
      </c>
      <c r="G1154" s="462">
        <v>75000000</v>
      </c>
      <c r="H1154" s="462">
        <v>75000000</v>
      </c>
    </row>
    <row r="1155" spans="1:8" ht="18" customHeight="1" x14ac:dyDescent="0.25">
      <c r="A1155" s="463"/>
      <c r="B1155" s="430" t="s">
        <v>2029</v>
      </c>
      <c r="C1155" s="711" t="s">
        <v>92</v>
      </c>
      <c r="D1155" s="712" t="s">
        <v>236</v>
      </c>
      <c r="E1155" s="783">
        <v>71040</v>
      </c>
      <c r="F1155" s="711" t="s">
        <v>2030</v>
      </c>
      <c r="G1155" s="462">
        <v>30000000</v>
      </c>
      <c r="H1155" s="462">
        <v>30000000</v>
      </c>
    </row>
    <row r="1156" spans="1:8" ht="18" customHeight="1" x14ac:dyDescent="0.25">
      <c r="A1156" s="463"/>
      <c r="B1156" s="430" t="s">
        <v>2031</v>
      </c>
      <c r="C1156" s="711" t="s">
        <v>92</v>
      </c>
      <c r="D1156" s="712" t="s">
        <v>236</v>
      </c>
      <c r="E1156" s="783">
        <v>71040</v>
      </c>
      <c r="F1156" s="711" t="s">
        <v>1796</v>
      </c>
      <c r="G1156" s="462">
        <v>1500000</v>
      </c>
      <c r="H1156" s="462">
        <v>1500000</v>
      </c>
    </row>
    <row r="1157" spans="1:8" ht="18" customHeight="1" x14ac:dyDescent="0.25">
      <c r="A1157" s="463"/>
      <c r="B1157" s="430" t="s">
        <v>2032</v>
      </c>
      <c r="C1157" s="711" t="s">
        <v>92</v>
      </c>
      <c r="D1157" s="712" t="s">
        <v>236</v>
      </c>
      <c r="E1157" s="783">
        <v>71040</v>
      </c>
      <c r="F1157" s="711" t="s">
        <v>2030</v>
      </c>
      <c r="G1157" s="462">
        <v>500000</v>
      </c>
      <c r="H1157" s="462">
        <v>500000</v>
      </c>
    </row>
    <row r="1158" spans="1:8" ht="18" customHeight="1" x14ac:dyDescent="0.25">
      <c r="A1158" s="463"/>
      <c r="B1158" s="457" t="s">
        <v>2033</v>
      </c>
      <c r="C1158" s="711" t="s">
        <v>92</v>
      </c>
      <c r="D1158" s="712" t="s">
        <v>236</v>
      </c>
      <c r="E1158" s="783">
        <v>71040</v>
      </c>
      <c r="F1158" s="711" t="s">
        <v>1796</v>
      </c>
      <c r="G1158" s="462">
        <v>2500000</v>
      </c>
      <c r="H1158" s="462">
        <v>2500000</v>
      </c>
    </row>
    <row r="1159" spans="1:8" ht="18" customHeight="1" x14ac:dyDescent="0.25">
      <c r="A1159" s="463"/>
      <c r="B1159" s="430" t="s">
        <v>2034</v>
      </c>
      <c r="C1159" s="711" t="s">
        <v>92</v>
      </c>
      <c r="D1159" s="712" t="s">
        <v>236</v>
      </c>
      <c r="E1159" s="783">
        <v>71040</v>
      </c>
      <c r="F1159" s="713" t="s">
        <v>1048</v>
      </c>
      <c r="G1159" s="462">
        <v>1500000</v>
      </c>
      <c r="H1159" s="462">
        <v>1500000</v>
      </c>
    </row>
    <row r="1160" spans="1:8" ht="18" customHeight="1" x14ac:dyDescent="0.25">
      <c r="A1160" s="463"/>
      <c r="B1160" s="430" t="s">
        <v>2035</v>
      </c>
      <c r="C1160" s="711" t="s">
        <v>92</v>
      </c>
      <c r="D1160" s="712" t="s">
        <v>236</v>
      </c>
      <c r="E1160" s="783">
        <v>71040</v>
      </c>
      <c r="F1160" s="713" t="s">
        <v>1048</v>
      </c>
      <c r="G1160" s="462">
        <v>1000000</v>
      </c>
      <c r="H1160" s="462">
        <v>1000000</v>
      </c>
    </row>
    <row r="1161" spans="1:8" ht="18" customHeight="1" x14ac:dyDescent="0.25">
      <c r="A1161" s="463"/>
      <c r="B1161" s="430" t="s">
        <v>2036</v>
      </c>
      <c r="C1161" s="711" t="s">
        <v>92</v>
      </c>
      <c r="D1161" s="712" t="s">
        <v>236</v>
      </c>
      <c r="E1161" s="783">
        <v>71040</v>
      </c>
      <c r="F1161" s="711" t="s">
        <v>1890</v>
      </c>
      <c r="G1161" s="462">
        <v>1500000</v>
      </c>
      <c r="H1161" s="462">
        <v>1500000</v>
      </c>
    </row>
    <row r="1162" spans="1:8" ht="18" customHeight="1" x14ac:dyDescent="0.25">
      <c r="A1162" s="463"/>
      <c r="B1162" s="430" t="s">
        <v>2037</v>
      </c>
      <c r="C1162" s="711" t="s">
        <v>92</v>
      </c>
      <c r="D1162" s="712" t="s">
        <v>236</v>
      </c>
      <c r="E1162" s="783">
        <v>71040</v>
      </c>
      <c r="F1162" s="713" t="s">
        <v>1048</v>
      </c>
      <c r="G1162" s="462">
        <v>16000000</v>
      </c>
      <c r="H1162" s="462">
        <v>16000000</v>
      </c>
    </row>
    <row r="1163" spans="1:8" ht="18" customHeight="1" x14ac:dyDescent="0.25">
      <c r="A1163" s="463"/>
      <c r="B1163" s="457" t="s">
        <v>2038</v>
      </c>
      <c r="C1163" s="711" t="s">
        <v>92</v>
      </c>
      <c r="D1163" s="712" t="s">
        <v>236</v>
      </c>
      <c r="E1163" s="783">
        <v>71040</v>
      </c>
      <c r="F1163" s="713" t="s">
        <v>1048</v>
      </c>
      <c r="G1163" s="462">
        <v>2000000</v>
      </c>
      <c r="H1163" s="462">
        <v>2000000</v>
      </c>
    </row>
    <row r="1164" spans="1:8" ht="18" customHeight="1" x14ac:dyDescent="0.25">
      <c r="A1164" s="463"/>
      <c r="B1164" s="430" t="s">
        <v>2039</v>
      </c>
      <c r="C1164" s="711" t="s">
        <v>92</v>
      </c>
      <c r="D1164" s="712" t="s">
        <v>236</v>
      </c>
      <c r="E1164" s="783">
        <v>71040</v>
      </c>
      <c r="F1164" s="711" t="s">
        <v>1885</v>
      </c>
      <c r="G1164" s="462">
        <v>1500000</v>
      </c>
      <c r="H1164" s="462">
        <v>1500000</v>
      </c>
    </row>
    <row r="1165" spans="1:8" ht="18" customHeight="1" x14ac:dyDescent="0.25">
      <c r="A1165" s="463"/>
      <c r="B1165" s="430" t="s">
        <v>2040</v>
      </c>
      <c r="C1165" s="711" t="s">
        <v>92</v>
      </c>
      <c r="D1165" s="712" t="s">
        <v>236</v>
      </c>
      <c r="E1165" s="783">
        <v>71040</v>
      </c>
      <c r="F1165" s="713" t="s">
        <v>1048</v>
      </c>
      <c r="G1165" s="462">
        <v>2500000</v>
      </c>
      <c r="H1165" s="462">
        <v>2500000</v>
      </c>
    </row>
    <row r="1166" spans="1:8" ht="18" customHeight="1" x14ac:dyDescent="0.25">
      <c r="A1166" s="463"/>
      <c r="B1166" s="430" t="s">
        <v>2041</v>
      </c>
      <c r="C1166" s="711" t="s">
        <v>92</v>
      </c>
      <c r="D1166" s="712" t="s">
        <v>236</v>
      </c>
      <c r="E1166" s="783">
        <v>71040</v>
      </c>
      <c r="F1166" s="713" t="s">
        <v>1048</v>
      </c>
      <c r="G1166" s="462">
        <v>800000</v>
      </c>
      <c r="H1166" s="462">
        <v>800000</v>
      </c>
    </row>
    <row r="1167" spans="1:8" ht="18" customHeight="1" x14ac:dyDescent="0.25">
      <c r="A1167" s="463"/>
      <c r="B1167" s="430" t="s">
        <v>2042</v>
      </c>
      <c r="C1167" s="711" t="s">
        <v>92</v>
      </c>
      <c r="D1167" s="712" t="s">
        <v>236</v>
      </c>
      <c r="E1167" s="783">
        <v>71040</v>
      </c>
      <c r="F1167" s="713" t="s">
        <v>1048</v>
      </c>
      <c r="G1167" s="462">
        <v>1000000</v>
      </c>
      <c r="H1167" s="462">
        <v>1000000</v>
      </c>
    </row>
    <row r="1168" spans="1:8" ht="18" customHeight="1" x14ac:dyDescent="0.25">
      <c r="A1168" s="463"/>
      <c r="B1168" s="430" t="s">
        <v>2043</v>
      </c>
      <c r="C1168" s="711" t="s">
        <v>92</v>
      </c>
      <c r="D1168" s="712" t="s">
        <v>236</v>
      </c>
      <c r="E1168" s="783">
        <v>71040</v>
      </c>
      <c r="F1168" s="711" t="s">
        <v>2044</v>
      </c>
      <c r="G1168" s="462">
        <v>3500000</v>
      </c>
      <c r="H1168" s="462">
        <v>3500000</v>
      </c>
    </row>
    <row r="1169" spans="1:10" ht="18" customHeight="1" x14ac:dyDescent="0.25">
      <c r="A1169" s="463"/>
      <c r="B1169" s="430" t="s">
        <v>2045</v>
      </c>
      <c r="C1169" s="711" t="s">
        <v>92</v>
      </c>
      <c r="D1169" s="712" t="s">
        <v>236</v>
      </c>
      <c r="E1169" s="783">
        <v>71040</v>
      </c>
      <c r="F1169" s="713" t="s">
        <v>1048</v>
      </c>
      <c r="G1169" s="462">
        <v>5500000</v>
      </c>
      <c r="H1169" s="462">
        <v>5500000</v>
      </c>
    </row>
    <row r="1170" spans="1:10" ht="18" customHeight="1" x14ac:dyDescent="0.25">
      <c r="A1170" s="463"/>
      <c r="B1170" s="430" t="s">
        <v>2046</v>
      </c>
      <c r="C1170" s="711" t="s">
        <v>92</v>
      </c>
      <c r="D1170" s="712" t="s">
        <v>236</v>
      </c>
      <c r="E1170" s="783">
        <v>71040</v>
      </c>
      <c r="F1170" s="711" t="s">
        <v>1885</v>
      </c>
      <c r="G1170" s="462">
        <v>5000000</v>
      </c>
      <c r="H1170" s="462">
        <v>5000000</v>
      </c>
    </row>
    <row r="1171" spans="1:10" ht="18" customHeight="1" x14ac:dyDescent="0.25">
      <c r="A1171" s="463"/>
      <c r="B1171" s="430" t="s">
        <v>2047</v>
      </c>
      <c r="C1171" s="711" t="s">
        <v>92</v>
      </c>
      <c r="D1171" s="712" t="s">
        <v>236</v>
      </c>
      <c r="E1171" s="783">
        <v>71040</v>
      </c>
      <c r="F1171" s="711" t="s">
        <v>1885</v>
      </c>
      <c r="G1171" s="462">
        <v>5000000</v>
      </c>
      <c r="H1171" s="462">
        <v>5000000</v>
      </c>
    </row>
    <row r="1172" spans="1:10" ht="18" customHeight="1" x14ac:dyDescent="0.25">
      <c r="A1172" s="463"/>
      <c r="B1172" s="430" t="s">
        <v>2048</v>
      </c>
      <c r="C1172" s="711" t="s">
        <v>92</v>
      </c>
      <c r="D1172" s="712" t="s">
        <v>236</v>
      </c>
      <c r="E1172" s="783">
        <v>71040</v>
      </c>
      <c r="F1172" s="711" t="s">
        <v>1890</v>
      </c>
      <c r="G1172" s="462">
        <v>8000000</v>
      </c>
      <c r="H1172" s="462">
        <v>8000000</v>
      </c>
    </row>
    <row r="1173" spans="1:10" ht="18" customHeight="1" x14ac:dyDescent="0.25">
      <c r="A1173" s="463"/>
      <c r="B1173" s="430" t="s">
        <v>2049</v>
      </c>
      <c r="C1173" s="711" t="s">
        <v>92</v>
      </c>
      <c r="D1173" s="712" t="s">
        <v>236</v>
      </c>
      <c r="E1173" s="783">
        <v>71040</v>
      </c>
      <c r="F1173" s="711" t="s">
        <v>2030</v>
      </c>
      <c r="G1173" s="462">
        <v>7100000</v>
      </c>
      <c r="H1173" s="462">
        <v>7100000</v>
      </c>
    </row>
    <row r="1174" spans="1:10" ht="18" customHeight="1" x14ac:dyDescent="0.25">
      <c r="A1174" s="463"/>
      <c r="B1174" s="430" t="s">
        <v>2050</v>
      </c>
      <c r="C1174" s="711" t="s">
        <v>383</v>
      </c>
      <c r="D1174" s="712" t="s">
        <v>2051</v>
      </c>
      <c r="E1174" s="783">
        <v>71041</v>
      </c>
      <c r="F1174" s="711" t="s">
        <v>2030</v>
      </c>
      <c r="G1174" s="462"/>
      <c r="H1174" s="462">
        <v>46000000</v>
      </c>
    </row>
    <row r="1175" spans="1:10" ht="18" customHeight="1" x14ac:dyDescent="0.25">
      <c r="A1175" s="463"/>
      <c r="B1175" s="870" t="s">
        <v>117</v>
      </c>
      <c r="C1175" s="705"/>
      <c r="D1175" s="705"/>
      <c r="E1175" s="870"/>
      <c r="F1175" s="870"/>
      <c r="G1175" s="489">
        <f>SUM(G1142:G1174)</f>
        <v>188100000</v>
      </c>
      <c r="H1175" s="489">
        <f>SUM(H1142:H1174)</f>
        <v>234100000</v>
      </c>
    </row>
    <row r="1176" spans="1:10" s="433" customFormat="1" ht="18" customHeight="1" x14ac:dyDescent="0.25">
      <c r="A1176" s="870"/>
      <c r="B1176" s="436" t="s">
        <v>1073</v>
      </c>
      <c r="C1176" s="745" t="s">
        <v>92</v>
      </c>
      <c r="D1176" s="746" t="s">
        <v>236</v>
      </c>
      <c r="E1176" s="785">
        <v>71040</v>
      </c>
      <c r="F1176" s="747" t="s">
        <v>1048</v>
      </c>
      <c r="G1176" s="451">
        <v>13800000</v>
      </c>
      <c r="H1176" s="451">
        <v>13800000</v>
      </c>
      <c r="I1176" s="432"/>
      <c r="J1176" s="432"/>
    </row>
    <row r="1177" spans="1:10" ht="18" customHeight="1" x14ac:dyDescent="0.25">
      <c r="A1177" s="463"/>
      <c r="B1177" s="870" t="s">
        <v>2052</v>
      </c>
      <c r="C1177" s="712"/>
      <c r="D1177" s="705"/>
      <c r="E1177" s="870"/>
      <c r="F1177" s="870"/>
      <c r="G1177" s="473">
        <f>SUM(G1175:G1176)</f>
        <v>201900000</v>
      </c>
      <c r="H1177" s="489">
        <f>SUM(H1175:H1176)</f>
        <v>247900000</v>
      </c>
    </row>
    <row r="1178" spans="1:10" ht="24.95" customHeight="1" x14ac:dyDescent="0.25">
      <c r="A1178" s="763"/>
      <c r="B1178" s="871" t="s">
        <v>903</v>
      </c>
      <c r="C1178" s="779"/>
      <c r="D1178" s="705"/>
      <c r="E1178" s="871"/>
      <c r="F1178" s="871"/>
      <c r="G1178" s="498"/>
      <c r="H1178" s="498"/>
    </row>
    <row r="1179" spans="1:10" ht="18" customHeight="1" x14ac:dyDescent="0.25">
      <c r="A1179" s="763"/>
      <c r="B1179" s="738" t="s">
        <v>2053</v>
      </c>
      <c r="C1179" s="745" t="s">
        <v>92</v>
      </c>
      <c r="D1179" s="712" t="s">
        <v>2279</v>
      </c>
      <c r="E1179" s="871"/>
      <c r="F1179" s="871"/>
      <c r="G1179" s="498"/>
      <c r="H1179" s="498">
        <v>100000000</v>
      </c>
    </row>
    <row r="1180" spans="1:10" ht="18" customHeight="1" x14ac:dyDescent="0.25">
      <c r="A1180" s="763"/>
      <c r="B1180" s="854" t="s">
        <v>1073</v>
      </c>
      <c r="C1180" s="745" t="s">
        <v>92</v>
      </c>
      <c r="D1180" s="712" t="s">
        <v>2279</v>
      </c>
      <c r="E1180" s="871"/>
      <c r="F1180" s="871"/>
      <c r="G1180" s="498"/>
      <c r="H1180" s="498">
        <v>33000000</v>
      </c>
    </row>
    <row r="1181" spans="1:10" ht="18" customHeight="1" x14ac:dyDescent="0.25">
      <c r="A1181" s="763"/>
      <c r="B1181" s="871" t="s">
        <v>2054</v>
      </c>
      <c r="C1181" s="779"/>
      <c r="D1181" s="705"/>
      <c r="E1181" s="871"/>
      <c r="F1181" s="871"/>
      <c r="G1181" s="498"/>
      <c r="H1181" s="498">
        <f>SUM(H1179:H1180)</f>
        <v>133000000</v>
      </c>
    </row>
    <row r="1182" spans="1:10" s="433" customFormat="1" ht="21" customHeight="1" x14ac:dyDescent="0.4">
      <c r="A1182" s="870" t="s">
        <v>2055</v>
      </c>
      <c r="B1182" s="870"/>
      <c r="C1182" s="705"/>
      <c r="D1182" s="705"/>
      <c r="E1182" s="870"/>
      <c r="F1182" s="870"/>
      <c r="G1182" s="473"/>
      <c r="H1182" s="489">
        <f>SUM(H902,H912,H921,H931,H933,H937,H961,H1003,H1007,H1011,H1015,H1019,H1022,H1026,H1030,H1036,H1043,H1049,H1056,H1062,H1068,H1074,H1081,H1093,H1095,H1106,H1110,H1112,H1114,H1116,H1118,H1120,H1122,H1124,H1138,H1140,H1177,H1181)</f>
        <v>8691534976</v>
      </c>
      <c r="I1182" s="468"/>
      <c r="J1182" s="432"/>
    </row>
    <row r="1183" spans="1:10" ht="21" customHeight="1" x14ac:dyDescent="0.4">
      <c r="A1183" s="870" t="s">
        <v>2056</v>
      </c>
      <c r="B1183" s="870"/>
      <c r="C1183" s="705"/>
      <c r="D1183" s="705"/>
      <c r="E1183" s="870"/>
      <c r="F1183" s="870"/>
      <c r="G1183" s="489">
        <v>54043917067.839996</v>
      </c>
      <c r="H1183" s="489">
        <f>SUM(H515,H808,H875,H885,H1182)</f>
        <v>60826151369</v>
      </c>
      <c r="I1183" s="468"/>
      <c r="J1183" s="499"/>
    </row>
    <row r="1184" spans="1:10" ht="60" customHeight="1" x14ac:dyDescent="0.25">
      <c r="A1184" s="756"/>
      <c r="B1184" s="467">
        <v>93</v>
      </c>
      <c r="C1184" s="720"/>
      <c r="D1184" s="720"/>
      <c r="E1184" s="756"/>
      <c r="F1184" s="756"/>
      <c r="G1184" s="756"/>
      <c r="H1184" s="500"/>
      <c r="I1184" s="450"/>
      <c r="J1184" s="497"/>
    </row>
    <row r="1185" spans="8:10" ht="21" customHeight="1" x14ac:dyDescent="0.25">
      <c r="I1185" s="869"/>
      <c r="J1185" s="450"/>
    </row>
    <row r="1186" spans="8:10" ht="21" customHeight="1" x14ac:dyDescent="0.4">
      <c r="H1186" s="864"/>
      <c r="I1186" s="468"/>
    </row>
    <row r="1187" spans="8:10" ht="21" customHeight="1" x14ac:dyDescent="0.25">
      <c r="H1187" s="865"/>
      <c r="J1187" s="450"/>
    </row>
  </sheetData>
  <mergeCells count="34">
    <mergeCell ref="B616:F616"/>
    <mergeCell ref="B623:F623"/>
    <mergeCell ref="B629:F629"/>
    <mergeCell ref="B636:F636"/>
    <mergeCell ref="B644:F644"/>
    <mergeCell ref="B611:F611"/>
    <mergeCell ref="B497:F497"/>
    <mergeCell ref="B509:F509"/>
    <mergeCell ref="B526:F526"/>
    <mergeCell ref="B530:F530"/>
    <mergeCell ref="B534:F534"/>
    <mergeCell ref="B544:F544"/>
    <mergeCell ref="B561:F561"/>
    <mergeCell ref="B575:F575"/>
    <mergeCell ref="B587:F587"/>
    <mergeCell ref="B597:F597"/>
    <mergeCell ref="B601:F601"/>
    <mergeCell ref="B484:F484"/>
    <mergeCell ref="B309:F309"/>
    <mergeCell ref="B320:F320"/>
    <mergeCell ref="B336:F336"/>
    <mergeCell ref="B352:F352"/>
    <mergeCell ref="B364:F364"/>
    <mergeCell ref="B381:F381"/>
    <mergeCell ref="B386:G386"/>
    <mergeCell ref="B390:G390"/>
    <mergeCell ref="B449:F449"/>
    <mergeCell ref="B462:F462"/>
    <mergeCell ref="B479:F479"/>
    <mergeCell ref="B271:F271"/>
    <mergeCell ref="B117:F117"/>
    <mergeCell ref="B208:F208"/>
    <mergeCell ref="B220:F220"/>
    <mergeCell ref="B249:F249"/>
  </mergeCells>
  <conditionalFormatting sqref="B657:B672">
    <cfRule type="expression" dxfId="491" priority="500">
      <formula>#REF!=2</formula>
    </cfRule>
    <cfRule type="expression" dxfId="490" priority="501">
      <formula>#REF!=1</formula>
    </cfRule>
  </conditionalFormatting>
  <conditionalFormatting sqref="B657:B659 B679:B680 B537:B541 B564:B569 B754">
    <cfRule type="expression" dxfId="489" priority="498">
      <formula>$J537=2</formula>
    </cfRule>
    <cfRule type="expression" dxfId="488" priority="499">
      <formula>$J537=1</formula>
    </cfRule>
  </conditionalFormatting>
  <conditionalFormatting sqref="B660:B661">
    <cfRule type="expression" dxfId="487" priority="496">
      <formula>$J660=2</formula>
    </cfRule>
    <cfRule type="expression" dxfId="486" priority="497">
      <formula>$J660=1</formula>
    </cfRule>
  </conditionalFormatting>
  <conditionalFormatting sqref="B662:B663">
    <cfRule type="expression" dxfId="485" priority="494">
      <formula>$J662=2</formula>
    </cfRule>
    <cfRule type="expression" dxfId="484" priority="495">
      <formula>$J662=1</formula>
    </cfRule>
  </conditionalFormatting>
  <conditionalFormatting sqref="B664:B665">
    <cfRule type="expression" dxfId="483" priority="492">
      <formula>$J664=2</formula>
    </cfRule>
    <cfRule type="expression" dxfId="482" priority="493">
      <formula>$J664=1</formula>
    </cfRule>
  </conditionalFormatting>
  <conditionalFormatting sqref="B666:B667">
    <cfRule type="expression" dxfId="481" priority="490">
      <formula>$J666=2</formula>
    </cfRule>
    <cfRule type="expression" dxfId="480" priority="491">
      <formula>$J666=1</formula>
    </cfRule>
  </conditionalFormatting>
  <conditionalFormatting sqref="B668:B669">
    <cfRule type="expression" dxfId="479" priority="488">
      <formula>$J668=2</formula>
    </cfRule>
    <cfRule type="expression" dxfId="478" priority="489">
      <formula>$J668=1</formula>
    </cfRule>
  </conditionalFormatting>
  <conditionalFormatting sqref="B670:B672">
    <cfRule type="expression" dxfId="477" priority="486">
      <formula>$J670=2</formula>
    </cfRule>
    <cfRule type="expression" dxfId="476" priority="487">
      <formula>$J670=1</formula>
    </cfRule>
  </conditionalFormatting>
  <conditionalFormatting sqref="B777 B679:B680 B472">
    <cfRule type="expression" dxfId="475" priority="484">
      <formula>#REF!=2</formula>
    </cfRule>
    <cfRule type="expression" dxfId="474" priority="485">
      <formula>#REF!=1</formula>
    </cfRule>
  </conditionalFormatting>
  <conditionalFormatting sqref="B646:B651 B464:B474 B486:B494 B1083:B1089 B904:B906 B915:B917 B923:B926 B725:B732 B734:B741 B1092 B1098:B1101 B682:B684 B699 B705">
    <cfRule type="expression" dxfId="473" priority="482">
      <formula>$J465=2</formula>
    </cfRule>
    <cfRule type="expression" dxfId="472" priority="483">
      <formula>$J465=1</formula>
    </cfRule>
  </conditionalFormatting>
  <conditionalFormatting sqref="B493:B494">
    <cfRule type="expression" dxfId="471" priority="480">
      <formula>$J464=2</formula>
    </cfRule>
    <cfRule type="expression" dxfId="470" priority="481">
      <formula>$J464=1</formula>
    </cfRule>
  </conditionalFormatting>
  <conditionalFormatting sqref="B644">
    <cfRule type="expression" dxfId="469" priority="478">
      <formula>$J571=2</formula>
    </cfRule>
    <cfRule type="expression" dxfId="468" priority="479">
      <formula>$J571=1</formula>
    </cfRule>
  </conditionalFormatting>
  <conditionalFormatting sqref="G397:H399 B610 B591:B592">
    <cfRule type="expression" dxfId="467" priority="476">
      <formula>#REF!=2</formula>
    </cfRule>
    <cfRule type="expression" dxfId="466" priority="477">
      <formula>#REF!=1</formula>
    </cfRule>
  </conditionalFormatting>
  <conditionalFormatting sqref="B590:B591">
    <cfRule type="expression" dxfId="465" priority="474">
      <formula>$J591=2</formula>
    </cfRule>
    <cfRule type="expression" dxfId="464" priority="475">
      <formula>$J591=1</formula>
    </cfRule>
  </conditionalFormatting>
  <conditionalFormatting sqref="B639:B641">
    <cfRule type="expression" dxfId="463" priority="472">
      <formula>$J566=2</formula>
    </cfRule>
    <cfRule type="expression" dxfId="462" priority="473">
      <formula>$J566=1</formula>
    </cfRule>
  </conditionalFormatting>
  <conditionalFormatting sqref="B592">
    <cfRule type="expression" dxfId="461" priority="470">
      <formula>$J593=2</formula>
    </cfRule>
    <cfRule type="expression" dxfId="460" priority="471">
      <formula>$J593=1</formula>
    </cfRule>
  </conditionalFormatting>
  <conditionalFormatting sqref="B642">
    <cfRule type="expression" dxfId="459" priority="468">
      <formula>$J570=2</formula>
    </cfRule>
    <cfRule type="expression" dxfId="458" priority="469">
      <formula>$J570=1</formula>
    </cfRule>
  </conditionalFormatting>
  <conditionalFormatting sqref="B593:B594">
    <cfRule type="expression" dxfId="457" priority="466">
      <formula>$J594=2</formula>
    </cfRule>
    <cfRule type="expression" dxfId="456" priority="467">
      <formula>$J594=1</formula>
    </cfRule>
  </conditionalFormatting>
  <conditionalFormatting sqref="B639:B640">
    <cfRule type="expression" dxfId="455" priority="464">
      <formula>$J639=2</formula>
    </cfRule>
    <cfRule type="expression" dxfId="454" priority="465">
      <formula>$J639=1</formula>
    </cfRule>
  </conditionalFormatting>
  <conditionalFormatting sqref="B641">
    <cfRule type="expression" dxfId="453" priority="462">
      <formula>$J641=2</formula>
    </cfRule>
    <cfRule type="expression" dxfId="452" priority="463">
      <formula>$J641=1</formula>
    </cfRule>
  </conditionalFormatting>
  <conditionalFormatting sqref="B773:B774">
    <cfRule type="expression" dxfId="451" priority="460">
      <formula>$J773=2</formula>
    </cfRule>
    <cfRule type="expression" dxfId="450" priority="461">
      <formula>$J773=1</formula>
    </cfRule>
  </conditionalFormatting>
  <conditionalFormatting sqref="B775:B776">
    <cfRule type="expression" dxfId="449" priority="458">
      <formula>$J775=2</formula>
    </cfRule>
    <cfRule type="expression" dxfId="448" priority="459">
      <formula>$J775=1</formula>
    </cfRule>
  </conditionalFormatting>
  <conditionalFormatting sqref="B777">
    <cfRule type="expression" dxfId="447" priority="456">
      <formula>$J777=2</formula>
    </cfRule>
    <cfRule type="expression" dxfId="446" priority="457">
      <formula>$J777=1</formula>
    </cfRule>
  </conditionalFormatting>
  <conditionalFormatting sqref="B689:B695 B687">
    <cfRule type="expression" dxfId="445" priority="454">
      <formula>$J645=2</formula>
    </cfRule>
    <cfRule type="expression" dxfId="444" priority="455">
      <formula>$J645=1</formula>
    </cfRule>
  </conditionalFormatting>
  <conditionalFormatting sqref="B603:B604">
    <cfRule type="expression" dxfId="443" priority="452">
      <formula>$J604=2</formula>
    </cfRule>
    <cfRule type="expression" dxfId="442" priority="453">
      <formula>$J604=1</formula>
    </cfRule>
  </conditionalFormatting>
  <conditionalFormatting sqref="B605:B607">
    <cfRule type="expression" dxfId="441" priority="450">
      <formula>$J606=2</formula>
    </cfRule>
    <cfRule type="expression" dxfId="440" priority="451">
      <formula>$J606=1</formula>
    </cfRule>
  </conditionalFormatting>
  <conditionalFormatting sqref="B608">
    <cfRule type="expression" dxfId="439" priority="448">
      <formula>$J609=2</formula>
    </cfRule>
    <cfRule type="expression" dxfId="438" priority="449">
      <formula>$J609=1</formula>
    </cfRule>
  </conditionalFormatting>
  <conditionalFormatting sqref="B704:B705">
    <cfRule type="expression" dxfId="437" priority="446">
      <formula>$J656=2</formula>
    </cfRule>
    <cfRule type="expression" dxfId="436" priority="447">
      <formula>$J656=1</formula>
    </cfRule>
  </conditionalFormatting>
  <conditionalFormatting sqref="B706:B708">
    <cfRule type="expression" dxfId="435" priority="444">
      <formula>$J656=2</formula>
    </cfRule>
    <cfRule type="expression" dxfId="434" priority="445">
      <formula>$J656=1</formula>
    </cfRule>
  </conditionalFormatting>
  <conditionalFormatting sqref="B697:B702 B695">
    <cfRule type="expression" dxfId="433" priority="442">
      <formula>$J636=2</formula>
    </cfRule>
    <cfRule type="expression" dxfId="432" priority="443">
      <formula>$J636=1</formula>
    </cfRule>
  </conditionalFormatting>
  <conditionalFormatting sqref="B698:B703">
    <cfRule type="expression" dxfId="431" priority="440">
      <formula>$J638=2</formula>
    </cfRule>
    <cfRule type="expression" dxfId="430" priority="441">
      <formula>$J638=1</formula>
    </cfRule>
  </conditionalFormatting>
  <conditionalFormatting sqref="B687:B689">
    <cfRule type="expression" dxfId="429" priority="438">
      <formula>$J688=2</formula>
    </cfRule>
    <cfRule type="expression" dxfId="428" priority="439">
      <formula>$J688=1</formula>
    </cfRule>
  </conditionalFormatting>
  <conditionalFormatting sqref="B690:B692">
    <cfRule type="expression" dxfId="427" priority="436">
      <formula>$J691=2</formula>
    </cfRule>
    <cfRule type="expression" dxfId="426" priority="437">
      <formula>$J691=1</formula>
    </cfRule>
  </conditionalFormatting>
  <conditionalFormatting sqref="B693:B695">
    <cfRule type="expression" dxfId="425" priority="434">
      <formula>$J694=2</formula>
    </cfRule>
    <cfRule type="expression" dxfId="424" priority="435">
      <formula>$J694=1</formula>
    </cfRule>
  </conditionalFormatting>
  <conditionalFormatting sqref="B696:B698">
    <cfRule type="expression" dxfId="423" priority="432">
      <formula>$J697=2</formula>
    </cfRule>
    <cfRule type="expression" dxfId="422" priority="433">
      <formula>$J697=1</formula>
    </cfRule>
  </conditionalFormatting>
  <conditionalFormatting sqref="B702:B704">
    <cfRule type="expression" dxfId="421" priority="430">
      <formula>$J641=2</formula>
    </cfRule>
    <cfRule type="expression" dxfId="420" priority="431">
      <formula>$J641=1</formula>
    </cfRule>
  </conditionalFormatting>
  <conditionalFormatting sqref="B702:B704">
    <cfRule type="expression" dxfId="419" priority="428">
      <formula>$J703=2</formula>
    </cfRule>
    <cfRule type="expression" dxfId="418" priority="429">
      <formula>$J703=1</formula>
    </cfRule>
  </conditionalFormatting>
  <conditionalFormatting sqref="B706:B708">
    <cfRule type="expression" dxfId="417" priority="426">
      <formula>$J657=2</formula>
    </cfRule>
    <cfRule type="expression" dxfId="416" priority="427">
      <formula>$J657=1</formula>
    </cfRule>
  </conditionalFormatting>
  <conditionalFormatting sqref="B710:B712">
    <cfRule type="expression" dxfId="415" priority="424">
      <formula>$J657=2</formula>
    </cfRule>
    <cfRule type="expression" dxfId="414" priority="425">
      <formula>$J657=1</formula>
    </cfRule>
  </conditionalFormatting>
  <conditionalFormatting sqref="B709:B712">
    <cfRule type="expression" dxfId="413" priority="422">
      <formula>$J710=2</formula>
    </cfRule>
    <cfRule type="expression" dxfId="412" priority="423">
      <formula>$J710=1</formula>
    </cfRule>
  </conditionalFormatting>
  <conditionalFormatting sqref="B689:B696">
    <cfRule type="expression" dxfId="411" priority="420">
      <formula>$J646=2</formula>
    </cfRule>
    <cfRule type="expression" dxfId="410" priority="421">
      <formula>$J646=1</formula>
    </cfRule>
  </conditionalFormatting>
  <conditionalFormatting sqref="B685:B686">
    <cfRule type="expression" dxfId="409" priority="418">
      <formula>$J617=2</formula>
    </cfRule>
    <cfRule type="expression" dxfId="408" priority="419">
      <formula>$J617=1</formula>
    </cfRule>
  </conditionalFormatting>
  <conditionalFormatting sqref="B1098:B1102 B1096 B1086:B1089 B1092:B1093 B926">
    <cfRule type="expression" dxfId="407" priority="416">
      <formula>#REF!=2</formula>
    </cfRule>
    <cfRule type="expression" dxfId="406" priority="417">
      <formula>#REF!=1</formula>
    </cfRule>
  </conditionalFormatting>
  <conditionalFormatting sqref="B949:B954">
    <cfRule type="expression" dxfId="405" priority="414">
      <formula>$J811=2</formula>
    </cfRule>
    <cfRule type="expression" dxfId="404" priority="415">
      <formula>$J811=1</formula>
    </cfRule>
  </conditionalFormatting>
  <conditionalFormatting sqref="B955:B958 B948">
    <cfRule type="expression" dxfId="403" priority="412">
      <formula>$J811=2</formula>
    </cfRule>
    <cfRule type="expression" dxfId="402" priority="413">
      <formula>$J811=1</formula>
    </cfRule>
  </conditionalFormatting>
  <conditionalFormatting sqref="B941:B942">
    <cfRule type="expression" dxfId="401" priority="410">
      <formula>#REF!=2</formula>
    </cfRule>
    <cfRule type="expression" dxfId="400" priority="411">
      <formula>#REF!=1</formula>
    </cfRule>
  </conditionalFormatting>
  <conditionalFormatting sqref="B940:B942">
    <cfRule type="expression" dxfId="399" priority="408">
      <formula>$J941=2</formula>
    </cfRule>
    <cfRule type="expression" dxfId="398" priority="409">
      <formula>$J941=1</formula>
    </cfRule>
  </conditionalFormatting>
  <conditionalFormatting sqref="B943:B946 B682:B683 B473:B474">
    <cfRule type="expression" dxfId="397" priority="406">
      <formula>#REF!=2</formula>
    </cfRule>
    <cfRule type="expression" dxfId="396" priority="407">
      <formula>#REF!=1</formula>
    </cfRule>
  </conditionalFormatting>
  <conditionalFormatting sqref="B943:B945">
    <cfRule type="expression" dxfId="395" priority="404">
      <formula>$J944=2</formula>
    </cfRule>
    <cfRule type="expression" dxfId="394" priority="405">
      <formula>$J944=1</formula>
    </cfRule>
  </conditionalFormatting>
  <conditionalFormatting sqref="B946">
    <cfRule type="expression" dxfId="393" priority="402">
      <formula>$J808=2</formula>
    </cfRule>
    <cfRule type="expression" dxfId="392" priority="403">
      <formula>$J808=1</formula>
    </cfRule>
  </conditionalFormatting>
  <conditionalFormatting sqref="B946:B948">
    <cfRule type="expression" dxfId="391" priority="400">
      <formula>$J947=2</formula>
    </cfRule>
    <cfRule type="expression" dxfId="390" priority="401">
      <formula>$J947=1</formula>
    </cfRule>
  </conditionalFormatting>
  <conditionalFormatting sqref="B951">
    <cfRule type="expression" dxfId="389" priority="398">
      <formula>$J812=2</formula>
    </cfRule>
    <cfRule type="expression" dxfId="388" priority="399">
      <formula>$J812=1</formula>
    </cfRule>
  </conditionalFormatting>
  <conditionalFormatting sqref="B949:B951">
    <cfRule type="expression" dxfId="387" priority="396">
      <formula>$J950=2</formula>
    </cfRule>
    <cfRule type="expression" dxfId="386" priority="397">
      <formula>$J950=1</formula>
    </cfRule>
  </conditionalFormatting>
  <conditionalFormatting sqref="B952:B954">
    <cfRule type="expression" dxfId="385" priority="394">
      <formula>$J813=2</formula>
    </cfRule>
    <cfRule type="expression" dxfId="384" priority="395">
      <formula>$J813=1</formula>
    </cfRule>
  </conditionalFormatting>
  <conditionalFormatting sqref="B952:B954">
    <cfRule type="expression" dxfId="383" priority="392">
      <formula>$J953=2</formula>
    </cfRule>
    <cfRule type="expression" dxfId="382" priority="393">
      <formula>$J953=1</formula>
    </cfRule>
  </conditionalFormatting>
  <conditionalFormatting sqref="B955:B957">
    <cfRule type="expression" dxfId="381" priority="390">
      <formula>$J817=2</formula>
    </cfRule>
    <cfRule type="expression" dxfId="380" priority="391">
      <formula>$J817=1</formula>
    </cfRule>
  </conditionalFormatting>
  <conditionalFormatting sqref="B955:B957">
    <cfRule type="expression" dxfId="379" priority="388">
      <formula>$J816=2</formula>
    </cfRule>
    <cfRule type="expression" dxfId="378" priority="389">
      <formula>$J816=1</formula>
    </cfRule>
  </conditionalFormatting>
  <conditionalFormatting sqref="B955:B957">
    <cfRule type="expression" dxfId="377" priority="386">
      <formula>$J956=2</formula>
    </cfRule>
    <cfRule type="expression" dxfId="376" priority="387">
      <formula>$J956=1</formula>
    </cfRule>
  </conditionalFormatting>
  <conditionalFormatting sqref="B958">
    <cfRule type="expression" dxfId="375" priority="384">
      <formula>$J820=2</formula>
    </cfRule>
    <cfRule type="expression" dxfId="374" priority="385">
      <formula>$J820=1</formula>
    </cfRule>
  </conditionalFormatting>
  <conditionalFormatting sqref="B958">
    <cfRule type="expression" dxfId="373" priority="382">
      <formula>$J819=2</formula>
    </cfRule>
    <cfRule type="expression" dxfId="372" priority="383">
      <formula>$J819=1</formula>
    </cfRule>
  </conditionalFormatting>
  <conditionalFormatting sqref="B958">
    <cfRule type="expression" dxfId="371" priority="380">
      <formula>$J959=2</formula>
    </cfRule>
    <cfRule type="expression" dxfId="370" priority="381">
      <formula>$J959=1</formula>
    </cfRule>
  </conditionalFormatting>
  <conditionalFormatting sqref="B432 B425:B426 B415:B416 B404:B406 B437:B438 B441:B444 B420:B421 B570:B572 B551:B560">
    <cfRule type="expression" dxfId="369" priority="378">
      <formula>$M405=2</formula>
    </cfRule>
    <cfRule type="expression" dxfId="368" priority="379">
      <formula>$M405=1</formula>
    </cfRule>
  </conditionalFormatting>
  <conditionalFormatting sqref="B403">
    <cfRule type="expression" dxfId="367" priority="376">
      <formula>$M371=2</formula>
    </cfRule>
    <cfRule type="expression" dxfId="366" priority="377">
      <formula>$M371=1</formula>
    </cfRule>
  </conditionalFormatting>
  <conditionalFormatting sqref="B403 B419 B424 B431 B408:B414 B436 B447:B448 B570:B572">
    <cfRule type="expression" dxfId="365" priority="374">
      <formula>$M403=2</formula>
    </cfRule>
    <cfRule type="expression" dxfId="364" priority="375">
      <formula>$M403=1</formula>
    </cfRule>
  </conditionalFormatting>
  <conditionalFormatting sqref="B440 B436">
    <cfRule type="expression" dxfId="363" priority="372">
      <formula>$M403=2</formula>
    </cfRule>
    <cfRule type="expression" dxfId="362" priority="373">
      <formula>$M403=1</formula>
    </cfRule>
  </conditionalFormatting>
  <conditionalFormatting sqref="B407">
    <cfRule type="expression" dxfId="361" priority="370">
      <formula>#REF!=2</formula>
    </cfRule>
    <cfRule type="expression" dxfId="360" priority="371">
      <formula>#REF!=1</formula>
    </cfRule>
  </conditionalFormatting>
  <conditionalFormatting sqref="B446:B448">
    <cfRule type="expression" dxfId="359" priority="368">
      <formula>$M405=2</formula>
    </cfRule>
    <cfRule type="expression" dxfId="358" priority="369">
      <formula>$M405=1</formula>
    </cfRule>
  </conditionalFormatting>
  <conditionalFormatting sqref="B441:B442">
    <cfRule type="expression" dxfId="357" priority="366">
      <formula>$M407=2</formula>
    </cfRule>
    <cfRule type="expression" dxfId="356" priority="367">
      <formula>$M407=1</formula>
    </cfRule>
  </conditionalFormatting>
  <conditionalFormatting sqref="B774">
    <cfRule type="expression" dxfId="355" priority="364">
      <formula>$J677=2</formula>
    </cfRule>
    <cfRule type="expression" dxfId="354" priority="365">
      <formula>$J677=1</formula>
    </cfRule>
  </conditionalFormatting>
  <conditionalFormatting sqref="B775:B776">
    <cfRule type="expression" dxfId="353" priority="362">
      <formula>#REF!=2</formula>
    </cfRule>
    <cfRule type="expression" dxfId="352" priority="363">
      <formula>#REF!=1</formula>
    </cfRule>
  </conditionalFormatting>
  <conditionalFormatting sqref="B558:B560">
    <cfRule type="expression" dxfId="351" priority="360">
      <formula>$M498=2</formula>
    </cfRule>
    <cfRule type="expression" dxfId="350" priority="361">
      <formula>$M498=1</formula>
    </cfRule>
  </conditionalFormatting>
  <conditionalFormatting sqref="B551:B552 B554:B557 B560">
    <cfRule type="expression" dxfId="349" priority="358">
      <formula>$M490=2</formula>
    </cfRule>
    <cfRule type="expression" dxfId="348" priority="359">
      <formula>$M490=1</formula>
    </cfRule>
  </conditionalFormatting>
  <conditionalFormatting sqref="B551:B554 B1133:B1135">
    <cfRule type="expression" dxfId="347" priority="356">
      <formula>$M488=2</formula>
    </cfRule>
    <cfRule type="expression" dxfId="346" priority="357">
      <formula>$M488=1</formula>
    </cfRule>
  </conditionalFormatting>
  <conditionalFormatting sqref="B555:B558">
    <cfRule type="expression" dxfId="345" priority="354">
      <formula>$M493=2</formula>
    </cfRule>
    <cfRule type="expression" dxfId="344" priority="355">
      <formula>$M493=1</formula>
    </cfRule>
  </conditionalFormatting>
  <conditionalFormatting sqref="B713">
    <cfRule type="expression" dxfId="343" priority="352">
      <formula>$M660=2</formula>
    </cfRule>
    <cfRule type="expression" dxfId="342" priority="353">
      <formula>$M660=1</formula>
    </cfRule>
  </conditionalFormatting>
  <conditionalFormatting sqref="B713">
    <cfRule type="expression" dxfId="341" priority="350">
      <formula>$M714=2</formula>
    </cfRule>
    <cfRule type="expression" dxfId="340" priority="351">
      <formula>$M714=1</formula>
    </cfRule>
  </conditionalFormatting>
  <conditionalFormatting sqref="B713">
    <cfRule type="expression" dxfId="339" priority="348">
      <formula>$M661=2</formula>
    </cfRule>
    <cfRule type="expression" dxfId="338" priority="349">
      <formula>$M661=1</formula>
    </cfRule>
  </conditionalFormatting>
  <conditionalFormatting sqref="B713">
    <cfRule type="expression" dxfId="337" priority="346">
      <formula>#REF!=2</formula>
    </cfRule>
    <cfRule type="expression" dxfId="336" priority="347">
      <formula>#REF!=1</formula>
    </cfRule>
  </conditionalFormatting>
  <conditionalFormatting sqref="B940">
    <cfRule type="expression" dxfId="335" priority="344">
      <formula>$J791=2</formula>
    </cfRule>
    <cfRule type="expression" dxfId="334" priority="345">
      <formula>$J791=1</formula>
    </cfRule>
  </conditionalFormatting>
  <conditionalFormatting sqref="B923:B924">
    <cfRule type="expression" dxfId="333" priority="342">
      <formula>#REF!=2</formula>
    </cfRule>
    <cfRule type="expression" dxfId="332" priority="343">
      <formula>#REF!=1</formula>
    </cfRule>
  </conditionalFormatting>
  <conditionalFormatting sqref="B1166">
    <cfRule type="expression" dxfId="331" priority="340">
      <formula>$M1149=2</formula>
    </cfRule>
    <cfRule type="expression" dxfId="330" priority="341">
      <formula>$M1149=1</formula>
    </cfRule>
  </conditionalFormatting>
  <conditionalFormatting sqref="B1172">
    <cfRule type="expression" dxfId="329" priority="338">
      <formula>$M1156=2</formula>
    </cfRule>
    <cfRule type="expression" dxfId="328" priority="339">
      <formula>$M1156=1</formula>
    </cfRule>
  </conditionalFormatting>
  <conditionalFormatting sqref="B1142">
    <cfRule type="expression" dxfId="327" priority="336">
      <formula>$M1053=2</formula>
    </cfRule>
    <cfRule type="expression" dxfId="326" priority="337">
      <formula>$M1053=1</formula>
    </cfRule>
  </conditionalFormatting>
  <conditionalFormatting sqref="B1170">
    <cfRule type="expression" dxfId="325" priority="334">
      <formula>$M1147=2</formula>
    </cfRule>
    <cfRule type="expression" dxfId="324" priority="335">
      <formula>$M1147=1</formula>
    </cfRule>
  </conditionalFormatting>
  <conditionalFormatting sqref="B1159 B1167:B1169">
    <cfRule type="expression" dxfId="323" priority="332">
      <formula>#REF!=2</formula>
    </cfRule>
    <cfRule type="expression" dxfId="322" priority="333">
      <formula>#REF!=1</formula>
    </cfRule>
  </conditionalFormatting>
  <conditionalFormatting sqref="B1173:B1174">
    <cfRule type="expression" dxfId="321" priority="330">
      <formula>$M1157=2</formula>
    </cfRule>
    <cfRule type="expression" dxfId="320" priority="331">
      <formula>$M1157=1</formula>
    </cfRule>
  </conditionalFormatting>
  <conditionalFormatting sqref="B1173:B1174">
    <cfRule type="expression" dxfId="319" priority="328">
      <formula>#REF!=2</formula>
    </cfRule>
    <cfRule type="expression" dxfId="318" priority="329">
      <formula>#REF!=1</formula>
    </cfRule>
  </conditionalFormatting>
  <conditionalFormatting sqref="B1134">
    <cfRule type="expression" dxfId="317" priority="326">
      <formula>$M1052=2</formula>
    </cfRule>
    <cfRule type="expression" dxfId="316" priority="327">
      <formula>$M1052=1</formula>
    </cfRule>
  </conditionalFormatting>
  <conditionalFormatting sqref="B1135">
    <cfRule type="expression" dxfId="315" priority="324">
      <formula>$M1055=2</formula>
    </cfRule>
    <cfRule type="expression" dxfId="314" priority="325">
      <formula>$M1055=1</formula>
    </cfRule>
  </conditionalFormatting>
  <conditionalFormatting sqref="B1128">
    <cfRule type="expression" dxfId="313" priority="322">
      <formula>$M1046=2</formula>
    </cfRule>
    <cfRule type="expression" dxfId="312" priority="323">
      <formula>$M1046=1</formula>
    </cfRule>
  </conditionalFormatting>
  <conditionalFormatting sqref="B1129">
    <cfRule type="expression" dxfId="311" priority="320">
      <formula>$M1047=2</formula>
    </cfRule>
    <cfRule type="expression" dxfId="310" priority="321">
      <formula>$M1047=1</formula>
    </cfRule>
  </conditionalFormatting>
  <conditionalFormatting sqref="B1127:B1135">
    <cfRule type="expression" dxfId="309" priority="318">
      <formula>#REF!=2</formula>
    </cfRule>
    <cfRule type="expression" dxfId="308" priority="319">
      <formula>#REF!=1</formula>
    </cfRule>
  </conditionalFormatting>
  <conditionalFormatting sqref="B1135">
    <cfRule type="expression" dxfId="307" priority="316">
      <formula>$M1053=2</formula>
    </cfRule>
    <cfRule type="expression" dxfId="306" priority="317">
      <formula>$M1053=1</formula>
    </cfRule>
  </conditionalFormatting>
  <conditionalFormatting sqref="B1133:B1135">
    <cfRule type="expression" dxfId="305" priority="314">
      <formula>$M1077=2</formula>
    </cfRule>
    <cfRule type="expression" dxfId="304" priority="315">
      <formula>$M1077=1</formula>
    </cfRule>
  </conditionalFormatting>
  <conditionalFormatting sqref="B1127">
    <cfRule type="expression" dxfId="303" priority="312">
      <formula>#REF!=2</formula>
    </cfRule>
    <cfRule type="expression" dxfId="302" priority="313">
      <formula>#REF!=1</formula>
    </cfRule>
  </conditionalFormatting>
  <conditionalFormatting sqref="B1127:B1129 B1133:B1135">
    <cfRule type="expression" dxfId="301" priority="310">
      <formula>$M1058=2</formula>
    </cfRule>
    <cfRule type="expression" dxfId="300" priority="311">
      <formula>$M1058=1</formula>
    </cfRule>
  </conditionalFormatting>
  <conditionalFormatting sqref="B1130:B1135">
    <cfRule type="expression" dxfId="299" priority="308">
      <formula>$M1127=2</formula>
    </cfRule>
    <cfRule type="expression" dxfId="298" priority="309">
      <formula>$M1127=1</formula>
    </cfRule>
  </conditionalFormatting>
  <conditionalFormatting sqref="B1127">
    <cfRule type="expression" dxfId="297" priority="306">
      <formula>$M1117=2</formula>
    </cfRule>
    <cfRule type="expression" dxfId="296" priority="307">
      <formula>$M1117=1</formula>
    </cfRule>
  </conditionalFormatting>
  <conditionalFormatting sqref="B1129:B1131 B1135">
    <cfRule type="expression" dxfId="295" priority="304">
      <formula>$M1064=2</formula>
    </cfRule>
    <cfRule type="expression" dxfId="294" priority="305">
      <formula>$M1064=1</formula>
    </cfRule>
  </conditionalFormatting>
  <conditionalFormatting sqref="B1127 B1133">
    <cfRule type="expression" dxfId="293" priority="302">
      <formula>$M1063=2</formula>
    </cfRule>
    <cfRule type="expression" dxfId="292" priority="303">
      <formula>$M1063=1</formula>
    </cfRule>
  </conditionalFormatting>
  <conditionalFormatting sqref="B1127">
    <cfRule type="expression" dxfId="291" priority="300">
      <formula>$M1117=2</formula>
    </cfRule>
    <cfRule type="expression" dxfId="290" priority="301">
      <formula>$M1117=1</formula>
    </cfRule>
  </conditionalFormatting>
  <conditionalFormatting sqref="B1127:B1129">
    <cfRule type="expression" dxfId="289" priority="298">
      <formula>$M1064=2</formula>
    </cfRule>
    <cfRule type="expression" dxfId="288" priority="299">
      <formula>$M1064=1</formula>
    </cfRule>
  </conditionalFormatting>
  <conditionalFormatting sqref="B1134:B1135">
    <cfRule type="expression" dxfId="287" priority="296">
      <formula>$M1038=2</formula>
    </cfRule>
    <cfRule type="expression" dxfId="286" priority="297">
      <formula>$M1038=1</formula>
    </cfRule>
  </conditionalFormatting>
  <conditionalFormatting sqref="B1127">
    <cfRule type="expression" dxfId="285" priority="294">
      <formula>$M1117=2</formula>
    </cfRule>
    <cfRule type="expression" dxfId="284" priority="295">
      <formula>$M1117=1</formula>
    </cfRule>
  </conditionalFormatting>
  <conditionalFormatting sqref="B1127">
    <cfRule type="expression" dxfId="283" priority="292">
      <formula>$M1117=2</formula>
    </cfRule>
    <cfRule type="expression" dxfId="282" priority="293">
      <formula>$M1117=1</formula>
    </cfRule>
  </conditionalFormatting>
  <conditionalFormatting sqref="B1127">
    <cfRule type="expression" dxfId="281" priority="290">
      <formula>$M1117=2</formula>
    </cfRule>
    <cfRule type="expression" dxfId="280" priority="291">
      <formula>$M1117=1</formula>
    </cfRule>
  </conditionalFormatting>
  <conditionalFormatting sqref="B1127">
    <cfRule type="expression" dxfId="279" priority="288">
      <formula>$M1064=2</formula>
    </cfRule>
    <cfRule type="expression" dxfId="278" priority="289">
      <formula>$M1064=1</formula>
    </cfRule>
  </conditionalFormatting>
  <conditionalFormatting sqref="B1127:B1129">
    <cfRule type="expression" dxfId="277" priority="286">
      <formula>$M1070=2</formula>
    </cfRule>
    <cfRule type="expression" dxfId="276" priority="287">
      <formula>$M1070=1</formula>
    </cfRule>
  </conditionalFormatting>
  <conditionalFormatting sqref="B1127">
    <cfRule type="expression" dxfId="275" priority="284">
      <formula>$M1058=2</formula>
    </cfRule>
    <cfRule type="expression" dxfId="274" priority="285">
      <formula>$M1058=1</formula>
    </cfRule>
  </conditionalFormatting>
  <conditionalFormatting sqref="B1127">
    <cfRule type="expression" dxfId="273" priority="282">
      <formula>$M1117=2</formula>
    </cfRule>
    <cfRule type="expression" dxfId="272" priority="283">
      <formula>$M1117=1</formula>
    </cfRule>
  </conditionalFormatting>
  <conditionalFormatting sqref="B1127">
    <cfRule type="expression" dxfId="271" priority="280">
      <formula>$M1117=2</formula>
    </cfRule>
    <cfRule type="expression" dxfId="270" priority="281">
      <formula>$M1117=1</formula>
    </cfRule>
  </conditionalFormatting>
  <conditionalFormatting sqref="B1127">
    <cfRule type="expression" dxfId="269" priority="278">
      <formula>$M1063=2</formula>
    </cfRule>
    <cfRule type="expression" dxfId="268" priority="279">
      <formula>$M1063=1</formula>
    </cfRule>
  </conditionalFormatting>
  <conditionalFormatting sqref="B1127">
    <cfRule type="expression" dxfId="267" priority="276">
      <formula>$M1063=2</formula>
    </cfRule>
    <cfRule type="expression" dxfId="266" priority="277">
      <formula>$M1063=1</formula>
    </cfRule>
  </conditionalFormatting>
  <conditionalFormatting sqref="B1127">
    <cfRule type="expression" dxfId="265" priority="274">
      <formula>$M1117=2</formula>
    </cfRule>
    <cfRule type="expression" dxfId="264" priority="275">
      <formula>$M1117=1</formula>
    </cfRule>
  </conditionalFormatting>
  <conditionalFormatting sqref="B1127">
    <cfRule type="expression" dxfId="263" priority="272">
      <formula>$M1064=2</formula>
    </cfRule>
    <cfRule type="expression" dxfId="262" priority="273">
      <formula>$M1064=1</formula>
    </cfRule>
  </conditionalFormatting>
  <conditionalFormatting sqref="B1128:B1130">
    <cfRule type="expression" dxfId="261" priority="270">
      <formula>$M1032=2</formula>
    </cfRule>
    <cfRule type="expression" dxfId="260" priority="271">
      <formula>$M1032=1</formula>
    </cfRule>
  </conditionalFormatting>
  <conditionalFormatting sqref="B1127">
    <cfRule type="expression" dxfId="259" priority="268">
      <formula>$M1117=2</formula>
    </cfRule>
    <cfRule type="expression" dxfId="258" priority="269">
      <formula>$M1117=1</formula>
    </cfRule>
  </conditionalFormatting>
  <conditionalFormatting sqref="B1127">
    <cfRule type="expression" dxfId="257" priority="266">
      <formula>$M1117=2</formula>
    </cfRule>
    <cfRule type="expression" dxfId="256" priority="267">
      <formula>$M1117=1</formula>
    </cfRule>
  </conditionalFormatting>
  <conditionalFormatting sqref="B1127">
    <cfRule type="expression" dxfId="255" priority="264">
      <formula>$M1117=2</formula>
    </cfRule>
    <cfRule type="expression" dxfId="254" priority="265">
      <formula>$M1117=1</formula>
    </cfRule>
  </conditionalFormatting>
  <conditionalFormatting sqref="B1127">
    <cfRule type="expression" dxfId="253" priority="262">
      <formula>$M1064=2</formula>
    </cfRule>
    <cfRule type="expression" dxfId="252" priority="263">
      <formula>$M1064=1</formula>
    </cfRule>
  </conditionalFormatting>
  <conditionalFormatting sqref="B1127">
    <cfRule type="expression" dxfId="251" priority="260">
      <formula>#REF!=2</formula>
    </cfRule>
    <cfRule type="expression" dxfId="250" priority="261">
      <formula>#REF!=1</formula>
    </cfRule>
  </conditionalFormatting>
  <conditionalFormatting sqref="B1127">
    <cfRule type="expression" dxfId="249" priority="258">
      <formula>$M1058=2</formula>
    </cfRule>
    <cfRule type="expression" dxfId="248" priority="259">
      <formula>$M1058=1</formula>
    </cfRule>
  </conditionalFormatting>
  <conditionalFormatting sqref="B1127">
    <cfRule type="expression" dxfId="247" priority="256">
      <formula>$M1117=2</formula>
    </cfRule>
    <cfRule type="expression" dxfId="246" priority="257">
      <formula>$M1117=1</formula>
    </cfRule>
  </conditionalFormatting>
  <conditionalFormatting sqref="B1127">
    <cfRule type="expression" dxfId="245" priority="254">
      <formula>$M1117=2</formula>
    </cfRule>
    <cfRule type="expression" dxfId="244" priority="255">
      <formula>$M1117=1</formula>
    </cfRule>
  </conditionalFormatting>
  <conditionalFormatting sqref="B1127">
    <cfRule type="expression" dxfId="243" priority="252">
      <formula>$M1063=2</formula>
    </cfRule>
    <cfRule type="expression" dxfId="242" priority="253">
      <formula>$M1063=1</formula>
    </cfRule>
  </conditionalFormatting>
  <conditionalFormatting sqref="B1127">
    <cfRule type="expression" dxfId="241" priority="250">
      <formula>$M1063=2</formula>
    </cfRule>
    <cfRule type="expression" dxfId="240" priority="251">
      <formula>$M1063=1</formula>
    </cfRule>
  </conditionalFormatting>
  <conditionalFormatting sqref="B1127">
    <cfRule type="expression" dxfId="239" priority="248">
      <formula>$M1117=2</formula>
    </cfRule>
    <cfRule type="expression" dxfId="238" priority="249">
      <formula>$M1117=1</formula>
    </cfRule>
  </conditionalFormatting>
  <conditionalFormatting sqref="B1127">
    <cfRule type="expression" dxfId="237" priority="246">
      <formula>$M1064=2</formula>
    </cfRule>
    <cfRule type="expression" dxfId="236" priority="247">
      <formula>$M1064=1</formula>
    </cfRule>
  </conditionalFormatting>
  <conditionalFormatting sqref="B1127">
    <cfRule type="expression" dxfId="235" priority="244">
      <formula>$M1117=2</formula>
    </cfRule>
    <cfRule type="expression" dxfId="234" priority="245">
      <formula>$M1117=1</formula>
    </cfRule>
  </conditionalFormatting>
  <conditionalFormatting sqref="B1127">
    <cfRule type="expression" dxfId="233" priority="242">
      <formula>$M1117=2</formula>
    </cfRule>
    <cfRule type="expression" dxfId="232" priority="243">
      <formula>$M1117=1</formula>
    </cfRule>
  </conditionalFormatting>
  <conditionalFormatting sqref="B1127">
    <cfRule type="expression" dxfId="231" priority="240">
      <formula>$M1117=2</formula>
    </cfRule>
    <cfRule type="expression" dxfId="230" priority="241">
      <formula>$M1117=1</formula>
    </cfRule>
  </conditionalFormatting>
  <conditionalFormatting sqref="B1127">
    <cfRule type="expression" dxfId="229" priority="238">
      <formula>$M1064=2</formula>
    </cfRule>
    <cfRule type="expression" dxfId="228" priority="239">
      <formula>$M1064=1</formula>
    </cfRule>
  </conditionalFormatting>
  <conditionalFormatting sqref="B1128">
    <cfRule type="expression" dxfId="227" priority="236">
      <formula>$M1071=2</formula>
    </cfRule>
    <cfRule type="expression" dxfId="226" priority="237">
      <formula>$M1071=1</formula>
    </cfRule>
  </conditionalFormatting>
  <conditionalFormatting sqref="B1128">
    <cfRule type="expression" dxfId="225" priority="234">
      <formula>$M1117=2</formula>
    </cfRule>
    <cfRule type="expression" dxfId="224" priority="235">
      <formula>$M1117=1</formula>
    </cfRule>
  </conditionalFormatting>
  <conditionalFormatting sqref="B1128">
    <cfRule type="expression" dxfId="223" priority="232">
      <formula>$M1059=2</formula>
    </cfRule>
    <cfRule type="expression" dxfId="222" priority="233">
      <formula>$M1059=1</formula>
    </cfRule>
  </conditionalFormatting>
  <conditionalFormatting sqref="B1128">
    <cfRule type="expression" dxfId="221" priority="230">
      <formula>#REF!=2</formula>
    </cfRule>
    <cfRule type="expression" dxfId="220" priority="231">
      <formula>#REF!=1</formula>
    </cfRule>
  </conditionalFormatting>
  <conditionalFormatting sqref="B1128">
    <cfRule type="expression" dxfId="219" priority="228">
      <formula>$M1065=2</formula>
    </cfRule>
    <cfRule type="expression" dxfId="218" priority="229">
      <formula>$M1065=1</formula>
    </cfRule>
  </conditionalFormatting>
  <conditionalFormatting sqref="B1128">
    <cfRule type="expression" dxfId="217" priority="226">
      <formula>$M1032=2</formula>
    </cfRule>
    <cfRule type="expression" dxfId="216" priority="227">
      <formula>$M1032=1</formula>
    </cfRule>
  </conditionalFormatting>
  <conditionalFormatting sqref="B1128">
    <cfRule type="expression" dxfId="215" priority="224">
      <formula>$M1065=2</formula>
    </cfRule>
    <cfRule type="expression" dxfId="214" priority="225">
      <formula>$M1065=1</formula>
    </cfRule>
  </conditionalFormatting>
  <conditionalFormatting sqref="B1129:B1135">
    <cfRule type="expression" dxfId="213" priority="222">
      <formula>$M1127=2</formula>
    </cfRule>
    <cfRule type="expression" dxfId="212" priority="223">
      <formula>$M1127=1</formula>
    </cfRule>
  </conditionalFormatting>
  <conditionalFormatting sqref="B1132 B471">
    <cfRule type="expression" dxfId="211" priority="220">
      <formula>#REF!=2</formula>
    </cfRule>
    <cfRule type="expression" dxfId="210" priority="221">
      <formula>#REF!=1</formula>
    </cfRule>
  </conditionalFormatting>
  <conditionalFormatting sqref="B486:B488">
    <cfRule type="expression" dxfId="209" priority="218">
      <formula>$J457=2</formula>
    </cfRule>
    <cfRule type="expression" dxfId="208" priority="219">
      <formula>$J457=1</formula>
    </cfRule>
  </conditionalFormatting>
  <conditionalFormatting sqref="B590 B489 B476:B480">
    <cfRule type="expression" dxfId="207" priority="216">
      <formula>#REF!=2</formula>
    </cfRule>
    <cfRule type="expression" dxfId="206" priority="217">
      <formula>#REF!=1</formula>
    </cfRule>
  </conditionalFormatting>
  <conditionalFormatting sqref="B606:B608">
    <cfRule type="expression" dxfId="205" priority="214">
      <formula>$J564=2</formula>
    </cfRule>
    <cfRule type="expression" dxfId="204" priority="215">
      <formula>$J564=1</formula>
    </cfRule>
  </conditionalFormatting>
  <conditionalFormatting sqref="B753 B694 B653 B642 B644">
    <cfRule type="expression" dxfId="203" priority="212">
      <formula>#REF!=2</formula>
    </cfRule>
    <cfRule type="expression" dxfId="202" priority="213">
      <formula>#REF!=1</formula>
    </cfRule>
  </conditionalFormatting>
  <conditionalFormatting sqref="B700:B701 B696">
    <cfRule type="expression" dxfId="201" priority="210">
      <formula>$J638=2</formula>
    </cfRule>
    <cfRule type="expression" dxfId="200" priority="211">
      <formula>$J638=1</formula>
    </cfRule>
  </conditionalFormatting>
  <conditionalFormatting sqref="B753:B754">
    <cfRule type="expression" dxfId="199" priority="208">
      <formula>$J664=2</formula>
    </cfRule>
    <cfRule type="expression" dxfId="198" priority="209">
      <formula>$J664=1</formula>
    </cfRule>
  </conditionalFormatting>
  <conditionalFormatting sqref="B1131 B1083:B1085">
    <cfRule type="expression" dxfId="197" priority="202">
      <formula>#REF!=2</formula>
    </cfRule>
    <cfRule type="expression" dxfId="196" priority="203">
      <formula>#REF!=1</formula>
    </cfRule>
  </conditionalFormatting>
  <conditionalFormatting sqref="B1149">
    <cfRule type="expression" dxfId="195" priority="200">
      <formula>$M1059=2</formula>
    </cfRule>
    <cfRule type="expression" dxfId="194" priority="201">
      <formula>$M1059=1</formula>
    </cfRule>
  </conditionalFormatting>
  <conditionalFormatting sqref="B1132 B1130">
    <cfRule type="expression" dxfId="193" priority="198">
      <formula>#REF!=2</formula>
    </cfRule>
    <cfRule type="expression" dxfId="192" priority="199">
      <formula>#REF!=1</formula>
    </cfRule>
  </conditionalFormatting>
  <conditionalFormatting sqref="B742:B744 B749">
    <cfRule type="expression" dxfId="191" priority="196">
      <formula>$O743=2</formula>
    </cfRule>
    <cfRule type="expression" dxfId="190" priority="197">
      <formula>$O743=1</formula>
    </cfRule>
  </conditionalFormatting>
  <conditionalFormatting sqref="B490">
    <cfRule type="expression" dxfId="189" priority="192">
      <formula>$J461=2</formula>
    </cfRule>
    <cfRule type="expression" dxfId="188" priority="193">
      <formula>$J461=1</formula>
    </cfRule>
  </conditionalFormatting>
  <conditionalFormatting sqref="B551:B553">
    <cfRule type="expression" dxfId="187" priority="190">
      <formula>$M489=2</formula>
    </cfRule>
    <cfRule type="expression" dxfId="186" priority="191">
      <formula>$M489=1</formula>
    </cfRule>
  </conditionalFormatting>
  <conditionalFormatting sqref="B1132 B1129 B1164 B496">
    <cfRule type="expression" dxfId="185" priority="188">
      <formula>#REF!=2</formula>
    </cfRule>
    <cfRule type="expression" dxfId="184" priority="189">
      <formula>#REF!=1</formula>
    </cfRule>
  </conditionalFormatting>
  <conditionalFormatting sqref="B553:B556">
    <cfRule type="expression" dxfId="183" priority="186">
      <formula>$M493=2</formula>
    </cfRule>
    <cfRule type="expression" dxfId="182" priority="187">
      <formula>$M493=1</formula>
    </cfRule>
  </conditionalFormatting>
  <conditionalFormatting sqref="B559:B560">
    <cfRule type="expression" dxfId="181" priority="184">
      <formula>$M498=2</formula>
    </cfRule>
    <cfRule type="expression" dxfId="180" priority="185">
      <formula>$M498=1</formula>
    </cfRule>
  </conditionalFormatting>
  <conditionalFormatting sqref="B603 B596 B585:B586 B583 B581 B579 B577 B574 B543">
    <cfRule type="expression" dxfId="179" priority="182">
      <formula>#REF!=2</formula>
    </cfRule>
    <cfRule type="expression" dxfId="178" priority="183">
      <formula>#REF!=1</formula>
    </cfRule>
  </conditionalFormatting>
  <conditionalFormatting sqref="B684">
    <cfRule type="expression" dxfId="177" priority="180">
      <formula>$J610=2</formula>
    </cfRule>
    <cfRule type="expression" dxfId="176" priority="181">
      <formula>$J610=1</formula>
    </cfRule>
  </conditionalFormatting>
  <conditionalFormatting sqref="B697">
    <cfRule type="expression" dxfId="175" priority="178">
      <formula>$J636=2</formula>
    </cfRule>
    <cfRule type="expression" dxfId="174" priority="179">
      <formula>$J636=1</formula>
    </cfRule>
  </conditionalFormatting>
  <conditionalFormatting sqref="B696">
    <cfRule type="expression" dxfId="173" priority="176">
      <formula>$J636=2</formula>
    </cfRule>
    <cfRule type="expression" dxfId="172" priority="177">
      <formula>$J636=1</formula>
    </cfRule>
  </conditionalFormatting>
  <conditionalFormatting sqref="B674 B643">
    <cfRule type="expression" dxfId="171" priority="174">
      <formula>#REF!=2</formula>
    </cfRule>
    <cfRule type="expression" dxfId="170" priority="175">
      <formula>#REF!=1</formula>
    </cfRule>
  </conditionalFormatting>
  <conditionalFormatting sqref="B705 B709:B712">
    <cfRule type="expression" dxfId="169" priority="172">
      <formula>$J653=2</formula>
    </cfRule>
    <cfRule type="expression" dxfId="168" priority="173">
      <formula>$J653=1</formula>
    </cfRule>
  </conditionalFormatting>
  <conditionalFormatting sqref="B704 B709:B712">
    <cfRule type="expression" dxfId="167" priority="170">
      <formula>$J653=2</formula>
    </cfRule>
    <cfRule type="expression" dxfId="166" priority="171">
      <formula>$J653=1</formula>
    </cfRule>
  </conditionalFormatting>
  <conditionalFormatting sqref="B703">
    <cfRule type="expression" dxfId="165" priority="168">
      <formula>$J653=2</formula>
    </cfRule>
    <cfRule type="expression" dxfId="164" priority="169">
      <formula>$J653=1</formula>
    </cfRule>
  </conditionalFormatting>
  <conditionalFormatting sqref="B782:B783 B756:B757 B745:B748 B718:B723 B677">
    <cfRule type="expression" dxfId="163" priority="166">
      <formula>#REF!=2</formula>
    </cfRule>
    <cfRule type="expression" dxfId="162" priority="167">
      <formula>#REF!=1</formula>
    </cfRule>
  </conditionalFormatting>
  <conditionalFormatting sqref="B925">
    <cfRule type="expression" dxfId="161" priority="164">
      <formula>$J808=2</formula>
    </cfRule>
    <cfRule type="expression" dxfId="160" priority="165">
      <formula>$J808=1</formula>
    </cfRule>
  </conditionalFormatting>
  <conditionalFormatting sqref="B947">
    <cfRule type="expression" dxfId="159" priority="162">
      <formula>$J808=2</formula>
    </cfRule>
    <cfRule type="expression" dxfId="158" priority="163">
      <formula>$J808=1</formula>
    </cfRule>
  </conditionalFormatting>
  <conditionalFormatting sqref="B909:B910">
    <cfRule type="expression" dxfId="157" priority="160">
      <formula>#REF!=2</formula>
    </cfRule>
    <cfRule type="expression" dxfId="156" priority="161">
      <formula>#REF!=1</formula>
    </cfRule>
  </conditionalFormatting>
  <conditionalFormatting sqref="B918">
    <cfRule type="expression" dxfId="155" priority="158">
      <formula>$K919=2</formula>
    </cfRule>
    <cfRule type="expression" dxfId="154" priority="159">
      <formula>$K919=1</formula>
    </cfRule>
  </conditionalFormatting>
  <conditionalFormatting sqref="B920">
    <cfRule type="expression" dxfId="153" priority="156">
      <formula>$K921=2</formula>
    </cfRule>
    <cfRule type="expression" dxfId="152" priority="157">
      <formula>$K921=1</formula>
    </cfRule>
  </conditionalFormatting>
  <conditionalFormatting sqref="B928">
    <cfRule type="expression" dxfId="151" priority="154">
      <formula>$K929=2</formula>
    </cfRule>
    <cfRule type="expression" dxfId="150" priority="155">
      <formula>$K929=1</formula>
    </cfRule>
  </conditionalFormatting>
  <conditionalFormatting sqref="B928">
    <cfRule type="expression" dxfId="149" priority="152">
      <formula>$K834=2</formula>
    </cfRule>
    <cfRule type="expression" dxfId="148" priority="153">
      <formula>$K834=1</formula>
    </cfRule>
  </conditionalFormatting>
  <conditionalFormatting sqref="B929">
    <cfRule type="expression" dxfId="147" priority="150">
      <formula>$K930=2</formula>
    </cfRule>
    <cfRule type="expression" dxfId="146" priority="151">
      <formula>$K930=1</formula>
    </cfRule>
  </conditionalFormatting>
  <conditionalFormatting sqref="B929">
    <cfRule type="expression" dxfId="145" priority="148">
      <formula>$K835=2</formula>
    </cfRule>
    <cfRule type="expression" dxfId="144" priority="149">
      <formula>$K835=1</formula>
    </cfRule>
  </conditionalFormatting>
  <conditionalFormatting sqref="B960">
    <cfRule type="expression" dxfId="143" priority="146">
      <formula>$K855=2</formula>
    </cfRule>
    <cfRule type="expression" dxfId="142" priority="147">
      <formula>$K855=1</formula>
    </cfRule>
  </conditionalFormatting>
  <conditionalFormatting sqref="B960">
    <cfRule type="expression" dxfId="141" priority="144">
      <formula>$K854=2</formula>
    </cfRule>
    <cfRule type="expression" dxfId="140" priority="145">
      <formula>$K854=1</formula>
    </cfRule>
  </conditionalFormatting>
  <conditionalFormatting sqref="B960">
    <cfRule type="expression" dxfId="139" priority="142">
      <formula>$K961=2</formula>
    </cfRule>
    <cfRule type="expression" dxfId="138" priority="143">
      <formula>$K961=1</formula>
    </cfRule>
  </conditionalFormatting>
  <conditionalFormatting sqref="B960">
    <cfRule type="expression" dxfId="137" priority="140">
      <formula>$K856=2</formula>
    </cfRule>
    <cfRule type="expression" dxfId="136" priority="141">
      <formula>$K856=1</formula>
    </cfRule>
  </conditionalFormatting>
  <conditionalFormatting sqref="B936">
    <cfRule type="expression" dxfId="135" priority="138">
      <formula>#REF!=2</formula>
    </cfRule>
    <cfRule type="expression" dxfId="134" priority="139">
      <formula>#REF!=1</formula>
    </cfRule>
  </conditionalFormatting>
  <conditionalFormatting sqref="B936">
    <cfRule type="expression" dxfId="133" priority="136">
      <formula>$K937=2</formula>
    </cfRule>
    <cfRule type="expression" dxfId="132" priority="137">
      <formula>$K937=1</formula>
    </cfRule>
  </conditionalFormatting>
  <conditionalFormatting sqref="B1029 B935">
    <cfRule type="expression" dxfId="131" priority="134">
      <formula>#REF!=2</formula>
    </cfRule>
    <cfRule type="expression" dxfId="130" priority="135">
      <formula>#REF!=1</formula>
    </cfRule>
  </conditionalFormatting>
  <conditionalFormatting sqref="B935">
    <cfRule type="expression" dxfId="129" priority="132">
      <formula>$K936=2</formula>
    </cfRule>
    <cfRule type="expression" dxfId="128" priority="133">
      <formula>$K936=1</formula>
    </cfRule>
  </conditionalFormatting>
  <conditionalFormatting sqref="B1132">
    <cfRule type="expression" dxfId="127" priority="130">
      <formula>$M1035=2</formula>
    </cfRule>
    <cfRule type="expression" dxfId="126" priority="131">
      <formula>$M1035=1</formula>
    </cfRule>
  </conditionalFormatting>
  <conditionalFormatting sqref="B1028:B1029">
    <cfRule type="expression" dxfId="125" priority="128">
      <formula>$K1029=2</formula>
    </cfRule>
    <cfRule type="expression" dxfId="124" priority="129">
      <formula>$K1029=1</formula>
    </cfRule>
  </conditionalFormatting>
  <conditionalFormatting sqref="B1131">
    <cfRule type="expression" dxfId="123" priority="126">
      <formula>$M1073=2</formula>
    </cfRule>
    <cfRule type="expression" dxfId="122" priority="127">
      <formula>$M1073=1</formula>
    </cfRule>
  </conditionalFormatting>
  <conditionalFormatting sqref="B1090:B1091">
    <cfRule type="expression" dxfId="121" priority="124">
      <formula>$K1091=2</formula>
    </cfRule>
    <cfRule type="expression" dxfId="120" priority="125">
      <formula>$K1091=1</formula>
    </cfRule>
  </conditionalFormatting>
  <conditionalFormatting sqref="B1091">
    <cfRule type="expression" dxfId="119" priority="122">
      <formula>$K1049=2</formula>
    </cfRule>
    <cfRule type="expression" dxfId="118" priority="123">
      <formula>$K1049=1</formula>
    </cfRule>
  </conditionalFormatting>
  <conditionalFormatting sqref="B1090">
    <cfRule type="expression" dxfId="117" priority="120">
      <formula>$K1046=2</formula>
    </cfRule>
    <cfRule type="expression" dxfId="116" priority="121">
      <formula>$K1046=1</formula>
    </cfRule>
  </conditionalFormatting>
  <conditionalFormatting sqref="B1095">
    <cfRule type="expression" dxfId="115" priority="118">
      <formula>$K1055=2</formula>
    </cfRule>
    <cfRule type="expression" dxfId="114" priority="119">
      <formula>$K1055=1</formula>
    </cfRule>
  </conditionalFormatting>
  <conditionalFormatting sqref="B1095">
    <cfRule type="expression" dxfId="113" priority="116">
      <formula>$K1096=2</formula>
    </cfRule>
    <cfRule type="expression" dxfId="112" priority="117">
      <formula>$K1096=1</formula>
    </cfRule>
  </conditionalFormatting>
  <conditionalFormatting sqref="B1105">
    <cfRule type="expression" dxfId="111" priority="114">
      <formula>$K1106=2</formula>
    </cfRule>
    <cfRule type="expression" dxfId="110" priority="115">
      <formula>$K1106=1</formula>
    </cfRule>
  </conditionalFormatting>
  <conditionalFormatting sqref="B1106">
    <cfRule type="expression" dxfId="109" priority="112">
      <formula>$N1106=2</formula>
    </cfRule>
    <cfRule type="expression" dxfId="108" priority="113">
      <formula>$N1106=1</formula>
    </cfRule>
  </conditionalFormatting>
  <conditionalFormatting sqref="B1106">
    <cfRule type="expression" dxfId="107" priority="110">
      <formula>$N1067=2</formula>
    </cfRule>
    <cfRule type="expression" dxfId="106" priority="111">
      <formula>$N1067=1</formula>
    </cfRule>
  </conditionalFormatting>
  <conditionalFormatting sqref="B1106">
    <cfRule type="expression" dxfId="105" priority="108">
      <formula>$N1057=2</formula>
    </cfRule>
    <cfRule type="expression" dxfId="104" priority="109">
      <formula>$N1057=1</formula>
    </cfRule>
  </conditionalFormatting>
  <conditionalFormatting sqref="B1106">
    <cfRule type="expression" dxfId="103" priority="106">
      <formula>$N1060=2</formula>
    </cfRule>
    <cfRule type="expression" dxfId="102" priority="107">
      <formula>$N1060=1</formula>
    </cfRule>
  </conditionalFormatting>
  <conditionalFormatting sqref="B1106">
    <cfRule type="expression" dxfId="101" priority="104">
      <formula>$N1062=2</formula>
    </cfRule>
    <cfRule type="expression" dxfId="100" priority="105">
      <formula>$N1062=1</formula>
    </cfRule>
  </conditionalFormatting>
  <conditionalFormatting sqref="B1105:B1106">
    <cfRule type="expression" dxfId="99" priority="102">
      <formula>#REF!=2</formula>
    </cfRule>
    <cfRule type="expression" dxfId="98" priority="103">
      <formula>#REF!=1</formula>
    </cfRule>
  </conditionalFormatting>
  <conditionalFormatting sqref="B1110">
    <cfRule type="expression" dxfId="97" priority="100">
      <formula>$N1068=2</formula>
    </cfRule>
    <cfRule type="expression" dxfId="96" priority="101">
      <formula>$N1068=1</formula>
    </cfRule>
  </conditionalFormatting>
  <conditionalFormatting sqref="B1110 B1103 B1137 B773 B435">
    <cfRule type="expression" dxfId="95" priority="98">
      <formula>#REF!=2</formula>
    </cfRule>
    <cfRule type="expression" dxfId="94" priority="99">
      <formula>#REF!=1</formula>
    </cfRule>
  </conditionalFormatting>
  <conditionalFormatting sqref="B1110">
    <cfRule type="expression" dxfId="93" priority="96">
      <formula>$N1063=2</formula>
    </cfRule>
    <cfRule type="expression" dxfId="92" priority="97">
      <formula>$N1063=1</formula>
    </cfRule>
  </conditionalFormatting>
  <conditionalFormatting sqref="B1108:B1109">
    <cfRule type="expression" dxfId="91" priority="94">
      <formula>$K1109=2</formula>
    </cfRule>
    <cfRule type="expression" dxfId="90" priority="95">
      <formula>$K1109=1</formula>
    </cfRule>
  </conditionalFormatting>
  <conditionalFormatting sqref="B1110">
    <cfRule type="expression" dxfId="89" priority="92">
      <formula>$N1061=2</formula>
    </cfRule>
    <cfRule type="expression" dxfId="88" priority="93">
      <formula>$N1061=1</formula>
    </cfRule>
  </conditionalFormatting>
  <conditionalFormatting sqref="B1112">
    <cfRule type="expression" dxfId="87" priority="90">
      <formula>#REF!=2</formula>
    </cfRule>
    <cfRule type="expression" dxfId="86" priority="91">
      <formula>#REF!=1</formula>
    </cfRule>
  </conditionalFormatting>
  <conditionalFormatting sqref="B1103">
    <cfRule type="expression" dxfId="85" priority="88">
      <formula>$N1056=2</formula>
    </cfRule>
    <cfRule type="expression" dxfId="84" priority="89">
      <formula>$N1056=1</formula>
    </cfRule>
  </conditionalFormatting>
  <conditionalFormatting sqref="B1125">
    <cfRule type="expression" dxfId="83" priority="86">
      <formula>#REF!=2</formula>
    </cfRule>
    <cfRule type="expression" dxfId="82" priority="87">
      <formula>#REF!=1</formula>
    </cfRule>
  </conditionalFormatting>
  <conditionalFormatting sqref="B1125">
    <cfRule type="expression" dxfId="81" priority="84">
      <formula>$N1108=2</formula>
    </cfRule>
    <cfRule type="expression" dxfId="80" priority="85">
      <formula>$N1108=1</formula>
    </cfRule>
  </conditionalFormatting>
  <conditionalFormatting sqref="B1125">
    <cfRule type="expression" dxfId="79" priority="82">
      <formula>$N1060=2</formula>
    </cfRule>
    <cfRule type="expression" dxfId="78" priority="83">
      <formula>$N1060=1</formula>
    </cfRule>
  </conditionalFormatting>
  <conditionalFormatting sqref="B1125">
    <cfRule type="expression" dxfId="77" priority="80">
      <formula>$N1038=2</formula>
    </cfRule>
    <cfRule type="expression" dxfId="76" priority="81">
      <formula>$N1038=1</formula>
    </cfRule>
  </conditionalFormatting>
  <conditionalFormatting sqref="B1125">
    <cfRule type="expression" dxfId="75" priority="78">
      <formula>$N1116=2</formula>
    </cfRule>
    <cfRule type="expression" dxfId="74" priority="79">
      <formula>$N1116=1</formula>
    </cfRule>
  </conditionalFormatting>
  <conditionalFormatting sqref="B1125">
    <cfRule type="expression" dxfId="73" priority="76">
      <formula>$N1065=2</formula>
    </cfRule>
    <cfRule type="expression" dxfId="72" priority="77">
      <formula>$N1065=1</formula>
    </cfRule>
  </conditionalFormatting>
  <conditionalFormatting sqref="B1125">
    <cfRule type="expression" dxfId="71" priority="74">
      <formula>$N1070=2</formula>
    </cfRule>
    <cfRule type="expression" dxfId="70" priority="75">
      <formula>$N1070=1</formula>
    </cfRule>
  </conditionalFormatting>
  <conditionalFormatting sqref="B1140">
    <cfRule type="expression" dxfId="69" priority="72">
      <formula>$N1082=2</formula>
    </cfRule>
    <cfRule type="expression" dxfId="68" priority="73">
      <formula>$N1082=1</formula>
    </cfRule>
  </conditionalFormatting>
  <conditionalFormatting sqref="B1140">
    <cfRule type="expression" dxfId="67" priority="70">
      <formula>#REF!=2</formula>
    </cfRule>
    <cfRule type="expression" dxfId="66" priority="71">
      <formula>#REF!=1</formula>
    </cfRule>
  </conditionalFormatting>
  <conditionalFormatting sqref="B1140">
    <cfRule type="expression" dxfId="65" priority="68">
      <formula>$N1070=2</formula>
    </cfRule>
    <cfRule type="expression" dxfId="64" priority="69">
      <formula>$N1070=1</formula>
    </cfRule>
  </conditionalFormatting>
  <conditionalFormatting sqref="B1140">
    <cfRule type="expression" dxfId="63" priority="66">
      <formula>$N1074=2</formula>
    </cfRule>
    <cfRule type="expression" dxfId="62" priority="67">
      <formula>$N1074=1</formula>
    </cfRule>
  </conditionalFormatting>
  <conditionalFormatting sqref="B1140">
    <cfRule type="expression" dxfId="61" priority="64">
      <formula>#REF!=2</formula>
    </cfRule>
    <cfRule type="expression" dxfId="60" priority="65">
      <formula>#REF!=1</formula>
    </cfRule>
  </conditionalFormatting>
  <conditionalFormatting sqref="B1140">
    <cfRule type="expression" dxfId="59" priority="62">
      <formula>$N1048=2</formula>
    </cfRule>
    <cfRule type="expression" dxfId="58" priority="63">
      <formula>$N1048=1</formula>
    </cfRule>
  </conditionalFormatting>
  <conditionalFormatting sqref="B591:B593 B546:B549">
    <cfRule type="expression" dxfId="57" priority="60">
      <formula>#REF!=2</formula>
    </cfRule>
    <cfRule type="expression" dxfId="56" priority="61">
      <formula>#REF!=1</formula>
    </cfRule>
  </conditionalFormatting>
  <conditionalFormatting sqref="B592">
    <cfRule type="expression" dxfId="55" priority="58">
      <formula>$J517=2</formula>
    </cfRule>
    <cfRule type="expression" dxfId="54" priority="59">
      <formula>$J517=1</formula>
    </cfRule>
  </conditionalFormatting>
  <conditionalFormatting sqref="B593">
    <cfRule type="expression" dxfId="53" priority="56">
      <formula>$J517=2</formula>
    </cfRule>
    <cfRule type="expression" dxfId="52" priority="57">
      <formula>$J517=1</formula>
    </cfRule>
  </conditionalFormatting>
  <conditionalFormatting sqref="B594">
    <cfRule type="expression" dxfId="51" priority="54">
      <formula>$J517=2</formula>
    </cfRule>
    <cfRule type="expression" dxfId="50" priority="55">
      <formula>$J517=1</formula>
    </cfRule>
  </conditionalFormatting>
  <conditionalFormatting sqref="B1102 B685:B686 B700:B701">
    <cfRule type="expression" dxfId="49" priority="52">
      <formula>$J687=2</formula>
    </cfRule>
    <cfRule type="expression" dxfId="48" priority="53">
      <formula>$J687=1</formula>
    </cfRule>
  </conditionalFormatting>
  <conditionalFormatting sqref="B947:B948">
    <cfRule type="expression" dxfId="47" priority="50">
      <formula>#REF!=2</formula>
    </cfRule>
    <cfRule type="expression" dxfId="46" priority="51">
      <formula>#REF!=1</formula>
    </cfRule>
  </conditionalFormatting>
  <conditionalFormatting sqref="B1028">
    <cfRule type="expression" dxfId="45" priority="48">
      <formula>$K961=2</formula>
    </cfRule>
    <cfRule type="expression" dxfId="44" priority="49">
      <formula>$K961=1</formula>
    </cfRule>
  </conditionalFormatting>
  <conditionalFormatting sqref="B1110">
    <cfRule type="expression" dxfId="43" priority="46">
      <formula>#REF!=2</formula>
    </cfRule>
    <cfRule type="expression" dxfId="42" priority="47">
      <formula>#REF!=1</formula>
    </cfRule>
  </conditionalFormatting>
  <conditionalFormatting sqref="B1103">
    <cfRule type="expression" dxfId="41" priority="44">
      <formula>$N1036=2</formula>
    </cfRule>
    <cfRule type="expression" dxfId="40" priority="45">
      <formula>$N1036=1</formula>
    </cfRule>
  </conditionalFormatting>
  <conditionalFormatting sqref="B1110 B1106 B1096 B1093">
    <cfRule type="expression" dxfId="39" priority="42">
      <formula>#REF!=2</formula>
    </cfRule>
    <cfRule type="expression" dxfId="38" priority="43">
      <formula>#REF!=1</formula>
    </cfRule>
  </conditionalFormatting>
  <conditionalFormatting sqref="B1103">
    <cfRule type="expression" dxfId="37" priority="40">
      <formula>$N1106=2</formula>
    </cfRule>
    <cfRule type="expression" dxfId="36" priority="41">
      <formula>$N1106=1</formula>
    </cfRule>
  </conditionalFormatting>
  <conditionalFormatting sqref="B1103">
    <cfRule type="expression" dxfId="35" priority="38">
      <formula>$N1066=2</formula>
    </cfRule>
    <cfRule type="expression" dxfId="34" priority="39">
      <formula>$N1066=1</formula>
    </cfRule>
  </conditionalFormatting>
  <conditionalFormatting sqref="B1103">
    <cfRule type="expression" dxfId="33" priority="36">
      <formula>$N1059=2</formula>
    </cfRule>
    <cfRule type="expression" dxfId="32" priority="37">
      <formula>$N1059=1</formula>
    </cfRule>
  </conditionalFormatting>
  <conditionalFormatting sqref="B1103">
    <cfRule type="expression" dxfId="31" priority="34">
      <formula>$N1061=2</formula>
    </cfRule>
    <cfRule type="expression" dxfId="30" priority="35">
      <formula>$N1061=1</formula>
    </cfRule>
  </conditionalFormatting>
  <conditionalFormatting sqref="B491">
    <cfRule type="expression" dxfId="29" priority="32">
      <formula>$J463=2</formula>
    </cfRule>
    <cfRule type="expression" dxfId="28" priority="33">
      <formula>$J463=1</formula>
    </cfRule>
  </conditionalFormatting>
  <conditionalFormatting sqref="B492">
    <cfRule type="expression" dxfId="27" priority="30">
      <formula>#REF!=2</formula>
    </cfRule>
    <cfRule type="expression" dxfId="26" priority="31">
      <formula>#REF!=1</formula>
    </cfRule>
  </conditionalFormatting>
  <conditionalFormatting sqref="B557">
    <cfRule type="expression" dxfId="25" priority="28">
      <formula>$M498=2</formula>
    </cfRule>
    <cfRule type="expression" dxfId="24" priority="29">
      <formula>$M498=1</formula>
    </cfRule>
  </conditionalFormatting>
  <conditionalFormatting sqref="B750:B751 B558:B559">
    <cfRule type="expression" dxfId="23" priority="26">
      <formula>#REF!=2</formula>
    </cfRule>
    <cfRule type="expression" dxfId="22" priority="27">
      <formula>#REF!=1</formula>
    </cfRule>
  </conditionalFormatting>
  <conditionalFormatting sqref="B604">
    <cfRule type="expression" dxfId="21" priority="24">
      <formula>$J563=2</formula>
    </cfRule>
    <cfRule type="expression" dxfId="20" priority="25">
      <formula>$J563=1</formula>
    </cfRule>
  </conditionalFormatting>
  <conditionalFormatting sqref="B605 B697:B698 B688">
    <cfRule type="expression" dxfId="19" priority="22">
      <formula>#REF!=2</formula>
    </cfRule>
    <cfRule type="expression" dxfId="18" priority="23">
      <formula>#REF!=1</formula>
    </cfRule>
  </conditionalFormatting>
  <conditionalFormatting sqref="B705">
    <cfRule type="expression" dxfId="17" priority="20">
      <formula>$J656=2</formula>
    </cfRule>
    <cfRule type="expression" dxfId="16" priority="21">
      <formula>$J656=1</formula>
    </cfRule>
  </conditionalFormatting>
  <conditionalFormatting sqref="B706:B709">
    <cfRule type="expression" dxfId="15" priority="18">
      <formula>#REF!=2</formula>
    </cfRule>
    <cfRule type="expression" dxfId="14" priority="19">
      <formula>#REF!=1</formula>
    </cfRule>
  </conditionalFormatting>
  <conditionalFormatting sqref="B713">
    <cfRule type="expression" dxfId="13" priority="16">
      <formula>$M658=2</formula>
    </cfRule>
    <cfRule type="expression" dxfId="12" priority="17">
      <formula>$M658=1</formula>
    </cfRule>
  </conditionalFormatting>
  <conditionalFormatting sqref="B1133 B949:B950">
    <cfRule type="expression" dxfId="11" priority="11">
      <formula>#REF!=2</formula>
    </cfRule>
    <cfRule type="expression" dxfId="10" priority="12">
      <formula>#REF!=1</formula>
    </cfRule>
  </conditionalFormatting>
  <conditionalFormatting sqref="B1131">
    <cfRule type="expression" dxfId="9" priority="9">
      <formula>$M1063=2</formula>
    </cfRule>
    <cfRule type="expression" dxfId="8" priority="10">
      <formula>$M1063=1</formula>
    </cfRule>
  </conditionalFormatting>
  <conditionalFormatting sqref="B1132 B1134">
    <cfRule type="expression" dxfId="7" priority="7">
      <formula>#REF!=2</formula>
    </cfRule>
    <cfRule type="expression" dxfId="6" priority="8">
      <formula>#REF!=1</formula>
    </cfRule>
  </conditionalFormatting>
  <conditionalFormatting sqref="B1131">
    <cfRule type="expression" dxfId="5" priority="5">
      <formula>$M1069=2</formula>
    </cfRule>
    <cfRule type="expression" dxfId="4" priority="6">
      <formula>$M1069=1</formula>
    </cfRule>
  </conditionalFormatting>
  <conditionalFormatting sqref="B706:B708">
    <cfRule type="expression" dxfId="3" priority="1">
      <formula>$J709=2</formula>
    </cfRule>
    <cfRule type="expression" dxfId="2" priority="2">
      <formula>$J709=1</formula>
    </cfRule>
  </conditionalFormatting>
  <conditionalFormatting sqref="E645:G645">
    <cfRule type="expression" dxfId="1" priority="670">
      <formula>$J574=2</formula>
    </cfRule>
    <cfRule type="expression" dxfId="0" priority="671">
      <formula>$J574=1</formula>
    </cfRule>
  </conditionalFormatting>
  <dataValidations count="16">
    <dataValidation type="list" allowBlank="1" showInputMessage="1" showErrorMessage="1" sqref="B1154:B1155" xr:uid="{00000000-0002-0000-0500-000000000000}">
      <formula1>INDIRECT($P1150)</formula1>
    </dataValidation>
    <dataValidation type="list" allowBlank="1" showInputMessage="1" showErrorMessage="1" sqref="B295:B297 B428:B430 B831:B832" xr:uid="{00000000-0002-0000-0500-000001000000}">
      <formula1>INDIRECT($P298)</formula1>
    </dataValidation>
    <dataValidation type="list" allowBlank="1" showInputMessage="1" showErrorMessage="1" sqref="B167:B168" xr:uid="{00000000-0002-0000-0500-000002000000}">
      <formula1>INDIRECT($Q172)</formula1>
    </dataValidation>
    <dataValidation type="list" allowBlank="1" showInputMessage="1" showErrorMessage="1" sqref="B1142" xr:uid="{00000000-0002-0000-0500-000003000000}">
      <formula1>INDIRECT($P1141)</formula1>
    </dataValidation>
    <dataValidation type="list" allowBlank="1" showInputMessage="1" showErrorMessage="1" sqref="B1103 B145:B147 B166 B169:B171 B193:B194" xr:uid="{00000000-0002-0000-0500-000004000000}">
      <formula1>INDIRECT($Q148)</formula1>
    </dataValidation>
    <dataValidation type="list" allowBlank="1" showInputMessage="1" showErrorMessage="1" sqref="B270 B377:B378 B833 B447:B448" xr:uid="{00000000-0002-0000-0500-000005000000}">
      <formula1>INDIRECT($P272)</formula1>
    </dataValidation>
    <dataValidation type="list" allowBlank="1" showInputMessage="1" showErrorMessage="1" sqref="B158:B159 B178:B179 B186 B204:B205 B197:B198" xr:uid="{00000000-0002-0000-0500-000006000000}">
      <formula1>INDIRECT($Q160)</formula1>
    </dataValidation>
    <dataValidation type="list" allowBlank="1" showInputMessage="1" showErrorMessage="1" sqref="B1125" xr:uid="{00000000-0002-0000-0500-000007000000}">
      <formula1>INDIRECT($Q1116)</formula1>
    </dataValidation>
    <dataValidation type="list" allowBlank="1" showInputMessage="1" showErrorMessage="1" sqref="B1127" xr:uid="{00000000-0002-0000-0500-000008000000}">
      <formula1>INDIRECT($P1117)</formula1>
    </dataValidation>
    <dataValidation type="list" allowBlank="1" showInputMessage="1" showErrorMessage="1" sqref="B1162 B1164:B1174 B1156:B1157 B1144:B1153" xr:uid="{00000000-0002-0000-0500-000009000000}">
      <formula1>INDIRECT($P1142)</formula1>
    </dataValidation>
    <dataValidation type="list" allowBlank="1" showInputMessage="1" showErrorMessage="1" sqref="B1159:B1161" xr:uid="{00000000-0002-0000-0500-00000A000000}">
      <formula1>INDIRECT($P1156)</formula1>
    </dataValidation>
    <dataValidation type="list" allowBlank="1" showInputMessage="1" showErrorMessage="1" sqref="B1176 B160:B165 B180:B185 B148:B157 B130:B144 B172:B177 B189:B192 B199:B203 B196" xr:uid="{00000000-0002-0000-0500-00000B000000}">
      <formula1>INDIRECT($Q131)</formula1>
    </dataValidation>
    <dataValidation type="list" allowBlank="1" showInputMessage="1" showErrorMessage="1" sqref="B327:B334 B551:B555 B981:B986 B791:B806 B713 B570:B572 B298:B307 B292:B294 B431:B432 B403:B427 B823:B830 B435:B446" xr:uid="{00000000-0002-0000-0500-00000C000000}">
      <formula1>INDIRECT($P293)</formula1>
    </dataValidation>
    <dataValidation type="list" allowBlank="1" showInputMessage="1" showErrorMessage="1" sqref="B434" xr:uid="{00000000-0002-0000-0500-00000D000000}">
      <formula1>INDIRECT($P434)</formula1>
    </dataValidation>
    <dataValidation type="list" allowBlank="1" showInputMessage="1" showErrorMessage="1" sqref="B195" xr:uid="{00000000-0002-0000-0500-00000E000000}">
      <formula1>INDIRECT($Q199)</formula1>
    </dataValidation>
    <dataValidation type="list" allowBlank="1" showInputMessage="1" showErrorMessage="1" sqref="B1110 B1128:B1135 B1143 B718:B719 B1106 B207 B187:B188 B556:B560 B336 B271 B252:B269 B633 B714:B715" xr:uid="{00000000-0002-0000-0500-00000F000000}">
      <formula1>INDIRECT(#REF!)</formula1>
    </dataValidation>
  </dataValidations>
  <pageMargins left="1.5" right="0.17" top="0.89" bottom="0.28000000000000003" header="0.52" footer="0.16"/>
  <pageSetup paperSize="9" scale="67" orientation="landscape" r:id="rId1"/>
  <headerFooter>
    <oddHeader>&amp;C&amp;"Arial,Bold"&amp;12DELTA STATE GOVERNMENT OF NIGERIA
YEAR 2020 APPROVED OVERHEAD COSTS BUDGET</oddHeader>
  </headerFooter>
  <rowBreaks count="45" manualBreakCount="45">
    <brk id="30" max="9" man="1"/>
    <brk id="58" max="9" man="1"/>
    <brk id="88" max="9" man="1"/>
    <brk id="118" max="9" man="1"/>
    <brk id="146" max="9" man="1"/>
    <brk id="170" max="9" man="1"/>
    <brk id="194" max="9" man="1"/>
    <brk id="221" max="9" man="1"/>
    <brk id="250" max="9" man="1"/>
    <brk id="272" max="9" man="1"/>
    <brk id="296" max="9" man="1"/>
    <brk id="321" max="9" man="1"/>
    <brk id="353" max="9" man="1"/>
    <brk id="382" max="9" man="1"/>
    <brk id="401" max="9" man="1"/>
    <brk id="429" max="9" man="1"/>
    <brk id="450" max="9" man="1"/>
    <brk id="480" max="9" man="1"/>
    <brk id="510" max="9" man="1"/>
    <brk id="535" max="9" man="1"/>
    <brk id="562" max="9" man="1"/>
    <brk id="588" max="9" man="1"/>
    <brk id="612" max="9" man="1"/>
    <brk id="637" max="9" man="1"/>
    <brk id="655" max="9" man="1"/>
    <brk id="680" max="9" man="1"/>
    <brk id="707" max="9" man="1"/>
    <brk id="723" max="9" man="1"/>
    <brk id="751" max="9" man="1"/>
    <brk id="771" max="9" man="1"/>
    <brk id="789" max="9" man="1"/>
    <brk id="809" max="9" man="1"/>
    <brk id="835" max="9" man="1"/>
    <brk id="862" max="9" man="1"/>
    <brk id="886" max="9" man="1"/>
    <brk id="913" max="9" man="1"/>
    <brk id="938" max="9" man="1"/>
    <brk id="962" max="9" man="1"/>
    <brk id="988" max="9" man="1"/>
    <brk id="1020" max="9" man="1"/>
    <brk id="1050" max="9" man="1"/>
    <brk id="1075" max="9" man="1"/>
    <brk id="1096" max="9" man="1"/>
    <brk id="1125" max="9" man="1"/>
    <brk id="1152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AB3F466-C096-4121-B634-7F9F90A9B6E5}"/>
</file>

<file path=customXml/itemProps2.xml><?xml version="1.0" encoding="utf-8"?>
<ds:datastoreItem xmlns:ds="http://schemas.openxmlformats.org/officeDocument/2006/customXml" ds:itemID="{FA69F282-1DD8-4DC2-A60C-E717D113F7F8}"/>
</file>

<file path=customXml/itemProps3.xml><?xml version="1.0" encoding="utf-8"?>
<ds:datastoreItem xmlns:ds="http://schemas.openxmlformats.org/officeDocument/2006/customXml" ds:itemID="{64439576-953D-47DE-B96B-5343FC743F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BUDGET SUM</vt:lpstr>
      <vt:lpstr>Recurrent Revenue Sum</vt:lpstr>
      <vt:lpstr>Details of Rec Rev_Cap Receipt</vt:lpstr>
      <vt:lpstr>Rec Exp Sum</vt:lpstr>
      <vt:lpstr>Personnel</vt:lpstr>
      <vt:lpstr>Overhead</vt:lpstr>
      <vt:lpstr>'BUDGET SUM'!Print_Area</vt:lpstr>
      <vt:lpstr>'Details of Rec Rev_Cap Receipt'!Print_Area</vt:lpstr>
      <vt:lpstr>Overhead!Print_Area</vt:lpstr>
      <vt:lpstr>Personnel!Print_Area</vt:lpstr>
      <vt:lpstr>'Rec Exp Sum'!Print_Area</vt:lpstr>
      <vt:lpstr>'Recurrent Revenue Sum'!Print_Area</vt:lpstr>
      <vt:lpstr>'BUDGET SUM'!Print_Titles</vt:lpstr>
      <vt:lpstr>'Details of Rec Rev_Cap Receipt'!Print_Titles</vt:lpstr>
      <vt:lpstr>Overhead!Print_Titles</vt:lpstr>
      <vt:lpstr>Personnel!Print_Titles</vt:lpstr>
      <vt:lpstr>'Rec Exp Sum'!Print_Titles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OFOH</dc:creator>
  <cp:lastModifiedBy>Olubunmi Akanbi</cp:lastModifiedBy>
  <cp:lastPrinted>2019-12-17T17:07:53Z</cp:lastPrinted>
  <dcterms:created xsi:type="dcterms:W3CDTF">2019-11-03T01:32:13Z</dcterms:created>
  <dcterms:modified xsi:type="dcterms:W3CDTF">2020-02-04T12:14:34Z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2e670685-b698-4bbd-9bff-dd2017c2ed38</vt:lpwstr>
  </property>
  <property fmtid="{D5CDD505-2E9C-101B-9397-08002B2CF9AE}" pid="3" name="ContentTypeId">
    <vt:lpwstr>0x010100378680F35D3048449BA7F79449FC3067</vt:lpwstr>
  </property>
</Properties>
</file>